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unding\"/>
    </mc:Choice>
  </mc:AlternateContent>
  <bookViews>
    <workbookView xWindow="0" yWindow="0" windowWidth="28800" windowHeight="12435" activeTab="1"/>
  </bookViews>
  <sheets>
    <sheet name="What's in the base" sheetId="3" r:id="rId1"/>
    <sheet name="Summary" sheetId="2" r:id="rId2"/>
    <sheet name="Formula Weights" sheetId="1" state="hidden" r:id="rId3"/>
    <sheet name="Salary Info" sheetId="4" state="hidden" r:id="rId4"/>
    <sheet name="Current QBE Funding" sheetId="5" state="hidden" r:id="rId5"/>
  </sheets>
  <externalReferences>
    <externalReference r:id="rId6"/>
    <externalReference r:id="rId7"/>
  </externalReferences>
  <definedNames>
    <definedName name="_xlnm.Print_Area" localSheetId="2">'Formula Weights'!$A$1:$M$72</definedName>
  </definedNames>
  <calcPr calcId="152511"/>
</workbook>
</file>

<file path=xl/calcChain.xml><?xml version="1.0" encoding="utf-8"?>
<calcChain xmlns="http://schemas.openxmlformats.org/spreadsheetml/2006/main">
  <c r="J29" i="1" l="1"/>
  <c r="J8" i="1"/>
  <c r="C28" i="3"/>
  <c r="C26" i="3"/>
  <c r="C19" i="3"/>
  <c r="C18" i="3"/>
  <c r="C15" i="3"/>
  <c r="C12" i="3"/>
  <c r="C8" i="3"/>
  <c r="C9" i="5"/>
  <c r="C17" i="5" s="1"/>
  <c r="C46" i="4" l="1"/>
  <c r="B45" i="4"/>
  <c r="C45" i="4" s="1"/>
  <c r="C47" i="4" s="1"/>
  <c r="C44" i="4"/>
  <c r="C40" i="4"/>
  <c r="B39" i="4"/>
  <c r="C38" i="4"/>
  <c r="C39" i="4" s="1"/>
  <c r="C41" i="4" s="1"/>
  <c r="C34" i="4"/>
  <c r="B33" i="4"/>
  <c r="C33" i="4" s="1"/>
  <c r="B25" i="4"/>
  <c r="C15" i="4"/>
  <c r="B11" i="4"/>
  <c r="B5" i="4"/>
  <c r="B13" i="4" s="1"/>
  <c r="C13" i="4" s="1"/>
  <c r="B4" i="4"/>
  <c r="B12" i="4" s="1"/>
  <c r="B1" i="4"/>
  <c r="B10" i="4" s="1"/>
  <c r="C10" i="4" s="1"/>
  <c r="K4" i="1"/>
  <c r="L4" i="1"/>
  <c r="L71" i="1" s="1"/>
  <c r="G8" i="1"/>
  <c r="B9" i="1"/>
  <c r="C10" i="1"/>
  <c r="K24" i="1"/>
  <c r="K30" i="1" s="1"/>
  <c r="L24" i="1"/>
  <c r="K26" i="1"/>
  <c r="K28" i="1"/>
  <c r="L28" i="1"/>
  <c r="L122" i="1" s="1"/>
  <c r="E30" i="1"/>
  <c r="M30" i="1"/>
  <c r="K36" i="1"/>
  <c r="L36" i="1"/>
  <c r="K38" i="1"/>
  <c r="K132" i="1" s="1"/>
  <c r="L38" i="1"/>
  <c r="B39" i="1"/>
  <c r="C39" i="1"/>
  <c r="C40" i="1" s="1"/>
  <c r="D39" i="1"/>
  <c r="D40" i="1" s="1"/>
  <c r="E39" i="1"/>
  <c r="E40" i="1" s="1"/>
  <c r="F39" i="1"/>
  <c r="F133" i="1" s="1"/>
  <c r="G39" i="1"/>
  <c r="G133" i="1" s="1"/>
  <c r="H39" i="1"/>
  <c r="J39" i="1"/>
  <c r="J40" i="1" s="1"/>
  <c r="K39" i="1"/>
  <c r="L39" i="1"/>
  <c r="M39" i="1"/>
  <c r="M40" i="1" s="1"/>
  <c r="I40" i="1"/>
  <c r="K44" i="1"/>
  <c r="L44" i="1"/>
  <c r="K45" i="1"/>
  <c r="K139" i="1" s="1"/>
  <c r="L45" i="1"/>
  <c r="B140" i="1"/>
  <c r="C46" i="1"/>
  <c r="C47" i="1" s="1"/>
  <c r="D46" i="1"/>
  <c r="D47" i="1" s="1"/>
  <c r="E46" i="1"/>
  <c r="E47" i="1" s="1"/>
  <c r="F46" i="1"/>
  <c r="G46" i="1"/>
  <c r="G140" i="1" s="1"/>
  <c r="H46" i="1"/>
  <c r="J46" i="1"/>
  <c r="J140" i="1" s="1"/>
  <c r="K46" i="1"/>
  <c r="L46" i="1"/>
  <c r="L140" i="1" s="1"/>
  <c r="M46" i="1"/>
  <c r="M47" i="1" s="1"/>
  <c r="F47" i="1"/>
  <c r="H47" i="1"/>
  <c r="I47" i="1"/>
  <c r="B143" i="1"/>
  <c r="C49" i="1"/>
  <c r="D49" i="1"/>
  <c r="D143" i="1" s="1"/>
  <c r="E49" i="1"/>
  <c r="F49" i="1"/>
  <c r="G49" i="1"/>
  <c r="H49" i="1"/>
  <c r="H143" i="1" s="1"/>
  <c r="J49" i="1"/>
  <c r="K49" i="1"/>
  <c r="K143" i="1" s="1"/>
  <c r="L49" i="1"/>
  <c r="M49" i="1"/>
  <c r="I51" i="1"/>
  <c r="K54" i="1"/>
  <c r="K148" i="1" s="1"/>
  <c r="L54" i="1"/>
  <c r="C55" i="1"/>
  <c r="C56" i="1" s="1"/>
  <c r="D55" i="1"/>
  <c r="D56" i="1" s="1"/>
  <c r="E55" i="1"/>
  <c r="F55" i="1"/>
  <c r="G55" i="1"/>
  <c r="G149" i="1" s="1"/>
  <c r="G150" i="1" s="1"/>
  <c r="H55" i="1"/>
  <c r="H56" i="1" s="1"/>
  <c r="J55" i="1"/>
  <c r="J56" i="1" s="1"/>
  <c r="K55" i="1"/>
  <c r="K56" i="1" s="1"/>
  <c r="L55" i="1"/>
  <c r="L56" i="1" s="1"/>
  <c r="M55" i="1"/>
  <c r="M56" i="1" s="1"/>
  <c r="E56" i="1"/>
  <c r="F56" i="1"/>
  <c r="G56" i="1"/>
  <c r="I56" i="1"/>
  <c r="L58" i="1"/>
  <c r="M60" i="1"/>
  <c r="B71" i="1"/>
  <c r="C71" i="1"/>
  <c r="D71" i="1"/>
  <c r="E71" i="1"/>
  <c r="F71" i="1"/>
  <c r="G71" i="1"/>
  <c r="H71" i="1"/>
  <c r="I71" i="1"/>
  <c r="J71" i="1"/>
  <c r="K71" i="1"/>
  <c r="M71" i="1"/>
  <c r="K75" i="1"/>
  <c r="L75" i="1"/>
  <c r="K76" i="1"/>
  <c r="L76" i="1"/>
  <c r="K77" i="1"/>
  <c r="L77" i="1"/>
  <c r="L78" i="1"/>
  <c r="L80" i="1"/>
  <c r="K89" i="1"/>
  <c r="L89" i="1"/>
  <c r="K90" i="1"/>
  <c r="L90" i="1"/>
  <c r="K92" i="1"/>
  <c r="L92" i="1"/>
  <c r="K94" i="1"/>
  <c r="L94" i="1"/>
  <c r="K96" i="1"/>
  <c r="K97" i="1"/>
  <c r="L97" i="1"/>
  <c r="K99" i="1"/>
  <c r="L99" i="1"/>
  <c r="E100" i="1"/>
  <c r="E60" i="1" s="1"/>
  <c r="E154" i="1" s="1"/>
  <c r="I100" i="1"/>
  <c r="I60" i="1" s="1"/>
  <c r="I154" i="1" s="1"/>
  <c r="B107" i="1"/>
  <c r="C107" i="1"/>
  <c r="D107" i="1"/>
  <c r="E107" i="1"/>
  <c r="F107" i="1"/>
  <c r="G107" i="1"/>
  <c r="H107" i="1"/>
  <c r="I107" i="1"/>
  <c r="J107" i="1"/>
  <c r="K107" i="1"/>
  <c r="E118" i="1"/>
  <c r="B119" i="1"/>
  <c r="D119" i="1"/>
  <c r="E119" i="1"/>
  <c r="F119" i="1"/>
  <c r="G119" i="1"/>
  <c r="H119" i="1"/>
  <c r="I119" i="1"/>
  <c r="J119" i="1"/>
  <c r="K119" i="1"/>
  <c r="C120" i="1"/>
  <c r="D120" i="1"/>
  <c r="E120" i="1"/>
  <c r="F120" i="1"/>
  <c r="G120" i="1"/>
  <c r="H120" i="1"/>
  <c r="I120" i="1"/>
  <c r="J120" i="1"/>
  <c r="K120" i="1"/>
  <c r="D121" i="1"/>
  <c r="E121" i="1"/>
  <c r="F121" i="1"/>
  <c r="G121" i="1"/>
  <c r="H121" i="1"/>
  <c r="I121" i="1"/>
  <c r="J121" i="1"/>
  <c r="K121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K123" i="1"/>
  <c r="C130" i="1"/>
  <c r="C134" i="1" s="1"/>
  <c r="D130" i="1"/>
  <c r="E130" i="1"/>
  <c r="F130" i="1"/>
  <c r="G130" i="1"/>
  <c r="H130" i="1"/>
  <c r="I130" i="1"/>
  <c r="J130" i="1"/>
  <c r="B131" i="1"/>
  <c r="C131" i="1"/>
  <c r="D131" i="1"/>
  <c r="E131" i="1"/>
  <c r="I131" i="1"/>
  <c r="I134" i="1" s="1"/>
  <c r="J131" i="1"/>
  <c r="K131" i="1"/>
  <c r="C132" i="1"/>
  <c r="D132" i="1"/>
  <c r="E132" i="1"/>
  <c r="F132" i="1"/>
  <c r="G132" i="1"/>
  <c r="H132" i="1"/>
  <c r="I132" i="1"/>
  <c r="J132" i="1"/>
  <c r="B133" i="1"/>
  <c r="C133" i="1"/>
  <c r="I133" i="1"/>
  <c r="J133" i="1"/>
  <c r="K133" i="1"/>
  <c r="C138" i="1"/>
  <c r="D138" i="1"/>
  <c r="E138" i="1"/>
  <c r="F138" i="1"/>
  <c r="G138" i="1"/>
  <c r="H138" i="1"/>
  <c r="I138" i="1"/>
  <c r="I141" i="1" s="1"/>
  <c r="J138" i="1"/>
  <c r="J141" i="1" s="1"/>
  <c r="K138" i="1"/>
  <c r="C139" i="1"/>
  <c r="D139" i="1"/>
  <c r="E139" i="1"/>
  <c r="F139" i="1"/>
  <c r="G139" i="1"/>
  <c r="H139" i="1"/>
  <c r="I139" i="1"/>
  <c r="J139" i="1"/>
  <c r="D140" i="1"/>
  <c r="E140" i="1"/>
  <c r="F140" i="1"/>
  <c r="F141" i="1" s="1"/>
  <c r="H140" i="1"/>
  <c r="I140" i="1"/>
  <c r="F143" i="1"/>
  <c r="G143" i="1"/>
  <c r="I143" i="1"/>
  <c r="J143" i="1"/>
  <c r="C148" i="1"/>
  <c r="D148" i="1"/>
  <c r="E148" i="1"/>
  <c r="F148" i="1"/>
  <c r="G148" i="1"/>
  <c r="H148" i="1"/>
  <c r="I148" i="1"/>
  <c r="J148" i="1"/>
  <c r="D149" i="1"/>
  <c r="E149" i="1"/>
  <c r="E150" i="1" s="1"/>
  <c r="F149" i="1"/>
  <c r="F150" i="1" s="1"/>
  <c r="I149" i="1"/>
  <c r="D150" i="1"/>
  <c r="B152" i="1"/>
  <c r="C152" i="1"/>
  <c r="D152" i="1"/>
  <c r="E152" i="1"/>
  <c r="F152" i="1"/>
  <c r="G152" i="1"/>
  <c r="H152" i="1"/>
  <c r="I152" i="1"/>
  <c r="J152" i="1"/>
  <c r="K152" i="1"/>
  <c r="G9" i="2"/>
  <c r="G17" i="2" s="1"/>
  <c r="F5" i="2"/>
  <c r="F9" i="2" s="1"/>
  <c r="F17" i="2" s="1"/>
  <c r="K40" i="1" l="1"/>
  <c r="I150" i="1"/>
  <c r="H141" i="1"/>
  <c r="D141" i="1"/>
  <c r="D145" i="1" s="1"/>
  <c r="L132" i="1"/>
  <c r="L152" i="1"/>
  <c r="L148" i="1"/>
  <c r="G47" i="1"/>
  <c r="C35" i="4"/>
  <c r="B45" i="1" s="1"/>
  <c r="L47" i="1"/>
  <c r="G141" i="1"/>
  <c r="D133" i="1"/>
  <c r="E124" i="1"/>
  <c r="L139" i="1"/>
  <c r="F89" i="1"/>
  <c r="F100" i="1" s="1"/>
  <c r="F60" i="1" s="1"/>
  <c r="F154" i="1" s="1"/>
  <c r="B97" i="1"/>
  <c r="C95" i="1"/>
  <c r="D89" i="1"/>
  <c r="D100" i="1" s="1"/>
  <c r="D60" i="1" s="1"/>
  <c r="D154" i="1" s="1"/>
  <c r="B96" i="1"/>
  <c r="B89" i="1"/>
  <c r="G89" i="1"/>
  <c r="G100" i="1" s="1"/>
  <c r="G60" i="1" s="1"/>
  <c r="G154" i="1" s="1"/>
  <c r="H89" i="1"/>
  <c r="H100" i="1" s="1"/>
  <c r="H60" i="1" s="1"/>
  <c r="H154" i="1" s="1"/>
  <c r="C89" i="1"/>
  <c r="C100" i="1" s="1"/>
  <c r="C60" i="1" s="1"/>
  <c r="C154" i="1" s="1"/>
  <c r="B95" i="1"/>
  <c r="I145" i="1"/>
  <c r="D134" i="1"/>
  <c r="L107" i="1"/>
  <c r="L109" i="1" s="1"/>
  <c r="L40" i="1"/>
  <c r="L118" i="1"/>
  <c r="J89" i="1"/>
  <c r="J100" i="1" s="1"/>
  <c r="J60" i="1" s="1"/>
  <c r="J154" i="1" s="1"/>
  <c r="B139" i="1"/>
  <c r="C17" i="3"/>
  <c r="K47" i="1"/>
  <c r="K51" i="1" s="1"/>
  <c r="K69" i="1" s="1"/>
  <c r="K130" i="1"/>
  <c r="K134" i="1" s="1"/>
  <c r="K122" i="1"/>
  <c r="L100" i="1"/>
  <c r="L60" i="1" s="1"/>
  <c r="L154" i="1" s="1"/>
  <c r="B6" i="4"/>
  <c r="E141" i="1"/>
  <c r="K81" i="1"/>
  <c r="M51" i="1"/>
  <c r="B27" i="4"/>
  <c r="E134" i="1"/>
  <c r="E133" i="1"/>
  <c r="E51" i="1"/>
  <c r="E69" i="1" s="1"/>
  <c r="E72" i="1" s="1"/>
  <c r="B26" i="4"/>
  <c r="K100" i="1"/>
  <c r="K60" i="1" s="1"/>
  <c r="K154" i="1" s="1"/>
  <c r="J134" i="1"/>
  <c r="J145" i="1" s="1"/>
  <c r="C12" i="4"/>
  <c r="C11" i="4"/>
  <c r="B24" i="4"/>
  <c r="L51" i="1"/>
  <c r="C51" i="1"/>
  <c r="L123" i="1"/>
  <c r="K118" i="1"/>
  <c r="J149" i="1"/>
  <c r="J150" i="1" s="1"/>
  <c r="C143" i="1"/>
  <c r="K149" i="1"/>
  <c r="K150" i="1" s="1"/>
  <c r="L143" i="1"/>
  <c r="L149" i="1"/>
  <c r="L150" i="1" s="1"/>
  <c r="E143" i="1"/>
  <c r="K140" i="1"/>
  <c r="K141" i="1" s="1"/>
  <c r="K145" i="1" s="1"/>
  <c r="C140" i="1"/>
  <c r="C141" i="1" s="1"/>
  <c r="B137" i="1"/>
  <c r="H133" i="1"/>
  <c r="B129" i="1"/>
  <c r="L119" i="1"/>
  <c r="L30" i="1"/>
  <c r="L120" i="1"/>
  <c r="H149" i="1"/>
  <c r="H150" i="1" s="1"/>
  <c r="L133" i="1"/>
  <c r="J47" i="1"/>
  <c r="J51" i="1" s="1"/>
  <c r="L138" i="1"/>
  <c r="L141" i="1" s="1"/>
  <c r="L130" i="1"/>
  <c r="B149" i="1"/>
  <c r="L131" i="1"/>
  <c r="L121" i="1"/>
  <c r="D51" i="1"/>
  <c r="C149" i="1"/>
  <c r="C150" i="1" s="1"/>
  <c r="C16" i="4" l="1"/>
  <c r="I24" i="1" s="1"/>
  <c r="E145" i="1"/>
  <c r="E157" i="1" s="1"/>
  <c r="L134" i="1"/>
  <c r="L145" i="1" s="1"/>
  <c r="C19" i="4"/>
  <c r="C21" i="4" s="1"/>
  <c r="C25" i="1" s="1"/>
  <c r="C119" i="1" s="1"/>
  <c r="D24" i="1"/>
  <c r="B27" i="1"/>
  <c r="F24" i="1"/>
  <c r="J24" i="1"/>
  <c r="C24" i="1"/>
  <c r="G24" i="1"/>
  <c r="H24" i="1"/>
  <c r="C27" i="1"/>
  <c r="C121" i="1" s="1"/>
  <c r="B24" i="1"/>
  <c r="C4" i="3" s="1"/>
  <c r="K124" i="1"/>
  <c r="L124" i="1"/>
  <c r="C24" i="4"/>
  <c r="C25" i="4"/>
  <c r="C27" i="4"/>
  <c r="C26" i="4"/>
  <c r="K72" i="1"/>
  <c r="L69" i="1"/>
  <c r="K157" i="1"/>
  <c r="C145" i="1"/>
  <c r="B92" i="1" l="1"/>
  <c r="B90" i="1"/>
  <c r="B94" i="1"/>
  <c r="B93" i="1" s="1"/>
  <c r="B99" i="1"/>
  <c r="L157" i="1"/>
  <c r="I30" i="1"/>
  <c r="I69" i="1" s="1"/>
  <c r="I118" i="1"/>
  <c r="I124" i="1" s="1"/>
  <c r="I157" i="1" s="1"/>
  <c r="B121" i="1"/>
  <c r="C6" i="3"/>
  <c r="D118" i="1"/>
  <c r="D124" i="1" s="1"/>
  <c r="D157" i="1" s="1"/>
  <c r="D30" i="1"/>
  <c r="D69" i="1" s="1"/>
  <c r="K18" i="1" s="1"/>
  <c r="K20" i="1" s="1"/>
  <c r="J118" i="1"/>
  <c r="J124" i="1" s="1"/>
  <c r="J157" i="1" s="1"/>
  <c r="J30" i="1"/>
  <c r="J69" i="1" s="1"/>
  <c r="J72" i="1" s="1"/>
  <c r="C30" i="1"/>
  <c r="C69" i="1" s="1"/>
  <c r="C72" i="1" s="1"/>
  <c r="C118" i="1"/>
  <c r="C124" i="1" s="1"/>
  <c r="C157" i="1" s="1"/>
  <c r="G30" i="1"/>
  <c r="G118" i="1"/>
  <c r="G124" i="1" s="1"/>
  <c r="H118" i="1"/>
  <c r="H124" i="1" s="1"/>
  <c r="H30" i="1"/>
  <c r="F118" i="1"/>
  <c r="F124" i="1" s="1"/>
  <c r="F30" i="1"/>
  <c r="C28" i="4"/>
  <c r="L72" i="1"/>
  <c r="E13" i="2"/>
  <c r="C13" i="2"/>
  <c r="I72" i="1" l="1"/>
  <c r="E19" i="2" s="1"/>
  <c r="C19" i="2"/>
  <c r="B100" i="1"/>
  <c r="B60" i="1" s="1"/>
  <c r="H37" i="1"/>
  <c r="G37" i="1"/>
  <c r="D72" i="1"/>
  <c r="E12" i="2" s="1"/>
  <c r="C29" i="4"/>
  <c r="B36" i="1"/>
  <c r="C13" i="3" s="1"/>
  <c r="B26" i="1"/>
  <c r="B38" i="1"/>
  <c r="B44" i="1"/>
  <c r="C16" i="3" s="1"/>
  <c r="B54" i="1"/>
  <c r="B28" i="1"/>
  <c r="F37" i="1"/>
  <c r="L18" i="1"/>
  <c r="L20" i="1" s="1"/>
  <c r="C11" i="2"/>
  <c r="E11" i="2"/>
  <c r="C17" i="2"/>
  <c r="E17" i="2"/>
  <c r="C12" i="2"/>
  <c r="B154" i="1" l="1"/>
  <c r="C24" i="3"/>
  <c r="G131" i="1"/>
  <c r="G134" i="1" s="1"/>
  <c r="G145" i="1" s="1"/>
  <c r="G157" i="1" s="1"/>
  <c r="G40" i="1"/>
  <c r="G51" i="1" s="1"/>
  <c r="G69" i="1" s="1"/>
  <c r="H131" i="1"/>
  <c r="H134" i="1" s="1"/>
  <c r="H145" i="1" s="1"/>
  <c r="H157" i="1" s="1"/>
  <c r="H40" i="1"/>
  <c r="H51" i="1" s="1"/>
  <c r="H69" i="1" s="1"/>
  <c r="B120" i="1"/>
  <c r="C5" i="3"/>
  <c r="C9" i="3" s="1"/>
  <c r="B132" i="1"/>
  <c r="C14" i="3"/>
  <c r="C20" i="3" s="1"/>
  <c r="B122" i="1"/>
  <c r="C7" i="3"/>
  <c r="B130" i="1"/>
  <c r="B134" i="1" s="1"/>
  <c r="B40" i="1"/>
  <c r="B138" i="1"/>
  <c r="B141" i="1" s="1"/>
  <c r="B145" i="1" s="1"/>
  <c r="B47" i="1"/>
  <c r="B148" i="1"/>
  <c r="B150" i="1" s="1"/>
  <c r="B56" i="1"/>
  <c r="C22" i="3" s="1"/>
  <c r="F131" i="1"/>
  <c r="F134" i="1" s="1"/>
  <c r="F145" i="1" s="1"/>
  <c r="F157" i="1" s="1"/>
  <c r="F40" i="1"/>
  <c r="F51" i="1" s="1"/>
  <c r="F69" i="1" s="1"/>
  <c r="H72" i="1" l="1"/>
  <c r="E16" i="2" s="1"/>
  <c r="C16" i="2"/>
  <c r="G72" i="1"/>
  <c r="E15" i="2" s="1"/>
  <c r="C15" i="2"/>
  <c r="C32" i="3"/>
  <c r="F72" i="1"/>
  <c r="E14" i="2" s="1"/>
  <c r="C14" i="2"/>
  <c r="B51" i="1"/>
  <c r="B118" i="1" l="1"/>
  <c r="B124" i="1" s="1"/>
  <c r="B157" i="1" s="1"/>
  <c r="B30" i="1"/>
  <c r="B69" i="1" s="1"/>
  <c r="G18" i="1" l="1"/>
  <c r="D15" i="2" s="1"/>
  <c r="M69" i="1"/>
  <c r="H18" i="1"/>
  <c r="D16" i="2" s="1"/>
  <c r="I18" i="1"/>
  <c r="D19" i="2" s="1"/>
  <c r="B18" i="1"/>
  <c r="E5" i="2"/>
  <c r="F18" i="1"/>
  <c r="D14" i="2" s="1"/>
  <c r="E18" i="1"/>
  <c r="D13" i="2" s="1"/>
  <c r="C18" i="1"/>
  <c r="D11" i="2" s="1"/>
  <c r="B72" i="1"/>
  <c r="J18" i="1"/>
  <c r="D17" i="2" s="1"/>
  <c r="D18" i="1"/>
  <c r="D12" i="2" s="1"/>
  <c r="E7" i="2" l="1"/>
  <c r="L74" i="1"/>
  <c r="L81" i="1" s="1"/>
  <c r="M72" i="1"/>
  <c r="E18" i="2" s="1"/>
  <c r="C18" i="2"/>
  <c r="E21" i="2" l="1"/>
  <c r="E22" i="2" s="1"/>
</calcChain>
</file>

<file path=xl/comments1.xml><?xml version="1.0" encoding="utf-8"?>
<comments xmlns="http://schemas.openxmlformats.org/spreadsheetml/2006/main">
  <authors>
    <author>John Dunn</author>
  </authors>
  <commentList>
    <comment ref="B8" authorId="0" shapeId="0">
      <text>
        <r>
          <rPr>
            <b/>
            <sz val="9"/>
            <color indexed="81"/>
            <rFont val="Tahoma"/>
            <charset val="1"/>
          </rPr>
          <t>John Dunn:</t>
        </r>
        <r>
          <rPr>
            <sz val="9"/>
            <color indexed="81"/>
            <rFont val="Tahoma"/>
            <charset val="1"/>
          </rPr>
          <t xml:space="preserve">
All other class sizes are adjusted to reflect the add on weight, not the total class size.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John Dunn:</t>
        </r>
        <r>
          <rPr>
            <sz val="9"/>
            <color indexed="81"/>
            <rFont val="Tahoma"/>
            <family val="2"/>
          </rPr>
          <t xml:space="preserve">
to achieve a class size of 20 for K3, use a clase size of 100 to achieve the additional 5 less students per class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John Dunn:</t>
        </r>
        <r>
          <rPr>
            <sz val="9"/>
            <color indexed="81"/>
            <rFont val="Tahoma"/>
            <family val="2"/>
          </rPr>
          <t xml:space="preserve">
K aide size of 18 spread over grade span K3.  18*4
</t>
        </r>
      </text>
    </comment>
    <comment ref="B64" authorId="0" shapeId="0">
      <text>
        <r>
          <rPr>
            <b/>
            <sz val="9"/>
            <color indexed="81"/>
            <rFont val="Tahoma"/>
            <charset val="1"/>
          </rPr>
          <t>John Dunn:</t>
        </r>
        <r>
          <rPr>
            <sz val="9"/>
            <color indexed="81"/>
            <rFont val="Tahoma"/>
            <charset val="1"/>
          </rPr>
          <t xml:space="preserve">
T&amp;E taken out of base on June 11 meeting
</t>
        </r>
      </text>
    </comment>
    <comment ref="B66" authorId="0" shapeId="0">
      <text>
        <r>
          <rPr>
            <b/>
            <sz val="9"/>
            <color indexed="81"/>
            <rFont val="Tahoma"/>
            <family val="2"/>
          </rPr>
          <t>John Dunn:</t>
        </r>
        <r>
          <rPr>
            <sz val="9"/>
            <color indexed="81"/>
            <rFont val="Tahoma"/>
            <family val="2"/>
          </rPr>
          <t xml:space="preserve">
Transportation would be 75.23 per enrollment
</t>
        </r>
      </text>
    </comment>
  </commentList>
</comments>
</file>

<file path=xl/sharedStrings.xml><?xml version="1.0" encoding="utf-8"?>
<sst xmlns="http://schemas.openxmlformats.org/spreadsheetml/2006/main" count="281" uniqueCount="192">
  <si>
    <t>Grades</t>
  </si>
  <si>
    <t>Grades K-12</t>
  </si>
  <si>
    <t>Vocational</t>
  </si>
  <si>
    <t xml:space="preserve">        Special Education</t>
  </si>
  <si>
    <t>Limited</t>
  </si>
  <si>
    <t>Alternative</t>
  </si>
  <si>
    <t>Category</t>
  </si>
  <si>
    <t>K-3</t>
  </si>
  <si>
    <t>Base</t>
  </si>
  <si>
    <t>9-12</t>
  </si>
  <si>
    <t>Labs</t>
  </si>
  <si>
    <t>Category I</t>
  </si>
  <si>
    <t>Category II</t>
  </si>
  <si>
    <t>Category III</t>
  </si>
  <si>
    <t>Gifted</t>
  </si>
  <si>
    <t>English</t>
  </si>
  <si>
    <t>Education</t>
  </si>
  <si>
    <t>Remedial</t>
  </si>
  <si>
    <t>Total</t>
  </si>
  <si>
    <t>Base System Size</t>
  </si>
  <si>
    <t>Base School Size</t>
  </si>
  <si>
    <t>Class Size</t>
  </si>
  <si>
    <t>Art, Music, PE Count</t>
  </si>
  <si>
    <t>Aide Count</t>
  </si>
  <si>
    <t>Clerk Count</t>
  </si>
  <si>
    <t>Counselor Count</t>
  </si>
  <si>
    <t>Psychologist Count</t>
  </si>
  <si>
    <t>Social Worker Count</t>
  </si>
  <si>
    <t>Technology Specialist Count</t>
  </si>
  <si>
    <t>Lab Supervisor Count</t>
  </si>
  <si>
    <t>Special Ed Specialist Count</t>
  </si>
  <si>
    <t>Calculated Weight</t>
  </si>
  <si>
    <t>DIRECT INSTRUCTIONAL COSTS:</t>
  </si>
  <si>
    <t xml:space="preserve"> Staff Salaries</t>
  </si>
  <si>
    <t xml:space="preserve"> Aides</t>
  </si>
  <si>
    <t xml:space="preserve"> Counselors</t>
  </si>
  <si>
    <t xml:space="preserve"> Art, Music, &amp; PE</t>
  </si>
  <si>
    <t xml:space="preserve"> Technology Specialist</t>
  </si>
  <si>
    <t xml:space="preserve"> Operation</t>
  </si>
  <si>
    <t>Subtotal - Direct Cost</t>
  </si>
  <si>
    <t>INDIRECT INSTRUCTIONAL COSTS:</t>
  </si>
  <si>
    <t xml:space="preserve"> Central Administration:</t>
  </si>
  <si>
    <t xml:space="preserve">  Superintendent and Central Office</t>
  </si>
  <si>
    <t xml:space="preserve">  Social Worker</t>
  </si>
  <si>
    <t xml:space="preserve">  Special Education Specialist</t>
  </si>
  <si>
    <t xml:space="preserve">  Psychologist</t>
  </si>
  <si>
    <t xml:space="preserve">  Operations</t>
  </si>
  <si>
    <t xml:space="preserve"> Subtotal - Central Admin.</t>
  </si>
  <si>
    <t xml:space="preserve"> School Administration:</t>
  </si>
  <si>
    <t xml:space="preserve">  Principal</t>
  </si>
  <si>
    <t xml:space="preserve">  Assistant Principal</t>
  </si>
  <si>
    <t xml:space="preserve">  Secretary</t>
  </si>
  <si>
    <t xml:space="preserve"> Subtotal School Admin.</t>
  </si>
  <si>
    <t xml:space="preserve"> Facility M &amp; O</t>
  </si>
  <si>
    <t>Subtotal - Indirect</t>
  </si>
  <si>
    <t>Media:</t>
  </si>
  <si>
    <t xml:space="preserve"> Personnel</t>
  </si>
  <si>
    <t xml:space="preserve"> Materials</t>
  </si>
  <si>
    <t>Subtotal - Media</t>
  </si>
  <si>
    <t>Additional Instruction</t>
  </si>
  <si>
    <t>Staff Development</t>
  </si>
  <si>
    <t>Nursing</t>
  </si>
  <si>
    <t>T&amp;E</t>
  </si>
  <si>
    <t>Transportation</t>
  </si>
  <si>
    <t>TOTAL PER/FTE COST</t>
  </si>
  <si>
    <t>TOTAL EARNINGS</t>
  </si>
  <si>
    <t>-</t>
  </si>
  <si>
    <t>STAFF DEVELOPMENT</t>
  </si>
  <si>
    <t xml:space="preserve">  Instructor/FTE</t>
  </si>
  <si>
    <t xml:space="preserve">  Social Worker/Base System</t>
  </si>
  <si>
    <t xml:space="preserve">  Assist. Principal/Base Sch</t>
  </si>
  <si>
    <t xml:space="preserve">  Art, Music, PE</t>
  </si>
  <si>
    <t xml:space="preserve">  Counselor</t>
  </si>
  <si>
    <t xml:space="preserve">  Media Personnel</t>
  </si>
  <si>
    <t xml:space="preserve">  Additional Instruction</t>
  </si>
  <si>
    <t xml:space="preserve">  Technology Specialist</t>
  </si>
  <si>
    <t>1-3</t>
  </si>
  <si>
    <t>6-8</t>
  </si>
  <si>
    <t>Incentive</t>
  </si>
  <si>
    <t>Voc Lab</t>
  </si>
  <si>
    <t>SE 2</t>
  </si>
  <si>
    <t>SE 3</t>
  </si>
  <si>
    <t>SE 4</t>
  </si>
  <si>
    <t>Alt. Ed</t>
  </si>
  <si>
    <t>Textbooks - 7 Yr. Replacement</t>
  </si>
  <si>
    <t xml:space="preserve">  Superintendent/Asst Supt/CO</t>
  </si>
  <si>
    <t>Student Enrollment</t>
  </si>
  <si>
    <t>Total Core QBE Formula Earnings</t>
  </si>
  <si>
    <t>School Nurses Funding</t>
  </si>
  <si>
    <t>Math and Science Supplemental Earnings</t>
  </si>
  <si>
    <t>Pupil Transportation Funding</t>
  </si>
  <si>
    <t>Austerity</t>
  </si>
  <si>
    <t>Amount Per Enrollment</t>
  </si>
  <si>
    <t>Student Characteristic Weight</t>
  </si>
  <si>
    <t>K3</t>
  </si>
  <si>
    <t>TRS</t>
  </si>
  <si>
    <t>CTAE</t>
  </si>
  <si>
    <t>SHBP Earnings</t>
  </si>
  <si>
    <t>Special Ed Cat I</t>
  </si>
  <si>
    <t>Commission Charter Supplement</t>
  </si>
  <si>
    <t>Special Ed Cat II</t>
  </si>
  <si>
    <t>SB 10</t>
  </si>
  <si>
    <t>Special Ed Cat III</t>
  </si>
  <si>
    <t>Charter System Supplemental Earnings</t>
  </si>
  <si>
    <t>English to Speakers of Others Languages</t>
  </si>
  <si>
    <t>Economically Disadvantaged</t>
  </si>
  <si>
    <t>Total QBE Earnings</t>
  </si>
  <si>
    <t>Grand Total</t>
  </si>
  <si>
    <t>Amount Available /shortage</t>
  </si>
  <si>
    <t>Economically</t>
  </si>
  <si>
    <t>Disadvantaged</t>
  </si>
  <si>
    <t>QBE Appropriation available for Per Student Weighted Formula</t>
  </si>
  <si>
    <t>FY 16 QBE Appropriation</t>
  </si>
  <si>
    <t>Teacher Salaries</t>
  </si>
  <si>
    <t>Training and Experience</t>
  </si>
  <si>
    <t>Teacher Retirement</t>
  </si>
  <si>
    <t>Health Insurance</t>
  </si>
  <si>
    <t>Art/Music/PE/Foreign Language</t>
  </si>
  <si>
    <t>Counselors</t>
  </si>
  <si>
    <t>Technology Specialist</t>
  </si>
  <si>
    <t>Social Worker</t>
  </si>
  <si>
    <t>Psychologist</t>
  </si>
  <si>
    <t>Assistant Principals</t>
  </si>
  <si>
    <t>School Secretary</t>
  </si>
  <si>
    <t>Facility M&amp;O</t>
  </si>
  <si>
    <t>Instructional Operations</t>
  </si>
  <si>
    <t>Superintendent and Central Office State</t>
  </si>
  <si>
    <t>Principals</t>
  </si>
  <si>
    <t>School Operations</t>
  </si>
  <si>
    <t xml:space="preserve">DIRECT </t>
  </si>
  <si>
    <t>TOTAL DIRECT</t>
  </si>
  <si>
    <t>INDIRECT</t>
  </si>
  <si>
    <t>TOTAL INDIRECT</t>
  </si>
  <si>
    <t>MEDIA SPECIALIST, MEDIA OPERATIONS</t>
  </si>
  <si>
    <t>STAFF AND PROFESSIONAL DEVELOPMENT</t>
  </si>
  <si>
    <t>NURSING</t>
  </si>
  <si>
    <t>TRANSPORTATION</t>
  </si>
  <si>
    <t>TRAINING AND EXPERIENCE</t>
  </si>
  <si>
    <t>TOTAL PER/ENROLLMENT COST</t>
  </si>
  <si>
    <t>ENROLLMENT</t>
  </si>
  <si>
    <t>Total Funding Enrollment</t>
  </si>
  <si>
    <t>Current Fiscal Year Base Teacher Salary:</t>
  </si>
  <si>
    <t>Retirement:</t>
  </si>
  <si>
    <t>Health Insurance:</t>
  </si>
  <si>
    <t>FICA/Medicare:</t>
  </si>
  <si>
    <t>Total Fringes:</t>
  </si>
  <si>
    <t>PERSONNEL</t>
  </si>
  <si>
    <t>RATE</t>
  </si>
  <si>
    <t>TOTALS</t>
  </si>
  <si>
    <t>COMMENTS</t>
  </si>
  <si>
    <t>The base teacher salary's relationship with QBE is established in OCGA 20-2-182, which states that the program weights, when multiplied by the base salary, must be enough to pay beginning teachers' salaries to provide a QBE to all students.  The base teacher's salary is T-4, Step E on the Teacher Salary Schedule, which is set by the Department of Education Board annually.</t>
  </si>
  <si>
    <t>Instructional Personnel</t>
  </si>
  <si>
    <t xml:space="preserve">  Base Salary</t>
  </si>
  <si>
    <t xml:space="preserve">  Retirement</t>
  </si>
  <si>
    <t xml:space="preserve">  Health Insurance</t>
  </si>
  <si>
    <t xml:space="preserve">  FICA</t>
  </si>
  <si>
    <t xml:space="preserve">  Sick Leave Rate</t>
  </si>
  <si>
    <t xml:space="preserve">  Sick Leave Days</t>
  </si>
  <si>
    <t>Total Salary (10 Month)</t>
  </si>
  <si>
    <t>Instructional Aides are funded at the rate of 1/3 the base teacher's salary plus fringes.</t>
  </si>
  <si>
    <t>Instructional Aides</t>
  </si>
  <si>
    <t xml:space="preserve">  Teacher Salary with Fringes</t>
  </si>
  <si>
    <t>Total Salary - Aides</t>
  </si>
  <si>
    <t>20-2-185 establishes that administrators must be funded at a basic level to ensure effective management of the school.  That basic level is the base teacher's salary plus fringes, multiplied by (12/10) to get a year's salary rather than 10 months.  20-2-186 establishes how many administrators per school are funded by QBE (dependent on number of FTEs per school system).</t>
  </si>
  <si>
    <t>Administrator/Specialist</t>
  </si>
  <si>
    <t>Total Salary (10 month)</t>
  </si>
  <si>
    <t>Total Salary (12 month)</t>
  </si>
  <si>
    <t>Code Sections 20-2-185, 20-2-186</t>
  </si>
  <si>
    <t>Secretary</t>
  </si>
  <si>
    <t>12 Month Secretary</t>
  </si>
  <si>
    <t>Funding for secretaries has not been adjusted since 1988 (the base salary is from the 1988 Merit System Salary Schedule, Pay Grade 20-E)</t>
  </si>
  <si>
    <t>10 Month Secretary</t>
  </si>
  <si>
    <t>Code Section 20-2-186</t>
  </si>
  <si>
    <t>Accountant</t>
  </si>
  <si>
    <t>Funding for accountants has not been adjusted since 1988 (the base salary is from the 1988 Merit System Salary Schedule, Pay Grade 31)</t>
  </si>
  <si>
    <t>COMPONENTS IN THE BASE</t>
  </si>
  <si>
    <t>AMOUNT</t>
  </si>
  <si>
    <t>ITEMS NOT IN THE BASE</t>
  </si>
  <si>
    <t>Additional funds for Operations</t>
  </si>
  <si>
    <t>National Average</t>
  </si>
  <si>
    <t>PRELIMINARY STUDENT WEIGHTS</t>
  </si>
  <si>
    <t>Student Characteristic Weights:  Add-On Weights</t>
  </si>
  <si>
    <t>Amount</t>
  </si>
  <si>
    <t>Base Weight Per Student</t>
  </si>
  <si>
    <t>K-12 Enrollment - Base Weight</t>
  </si>
  <si>
    <t>Lower class size (1:20), Kindergarten Aide</t>
  </si>
  <si>
    <t>Reduced Class size for some classes (honors, AP, Etc.)</t>
  </si>
  <si>
    <t>Reduced Class size (1:12)</t>
  </si>
  <si>
    <t>Reduced Class size (1:6)</t>
  </si>
  <si>
    <t>Reduced Class size (1:5)</t>
  </si>
  <si>
    <t>Reduced Class size (1:20.5)</t>
  </si>
  <si>
    <t>Reduced Class size (1:20)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</si>
</sst>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[Red]\(0.0000\)"/>
    <numFmt numFmtId="165" formatCode="_(* #,##0_);_(* \(#,##0\);_(* &quot;-&quot;??_);_(@_)"/>
    <numFmt numFmtId="166" formatCode="0.00_);[Red]\(0.00\)"/>
    <numFmt numFmtId="167" formatCode="0.00000"/>
    <numFmt numFmtId="168" formatCode="0.000%"/>
    <numFmt numFmtId="169" formatCode="&quot;$&quot;#,##0.000000_);\(&quot;$&quot;#,##0.0000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u/>
      <sz val="8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i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8"/>
      <color indexed="17"/>
      <name val="MS Serif"/>
      <family val="1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92">
    <xf numFmtId="0" fontId="0" fillId="0" borderId="0" xfId="0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/>
    <xf numFmtId="0" fontId="3" fillId="0" borderId="2" xfId="0" applyFont="1" applyBorder="1" applyAlignment="1"/>
    <xf numFmtId="0" fontId="3" fillId="0" borderId="0" xfId="0" applyFont="1" applyAlignment="1"/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/>
    <xf numFmtId="0" fontId="4" fillId="2" borderId="7" xfId="0" applyFont="1" applyFill="1" applyBorder="1" applyAlignment="1"/>
    <xf numFmtId="0" fontId="4" fillId="0" borderId="8" xfId="0" applyFont="1" applyBorder="1" applyAlignment="1"/>
    <xf numFmtId="0" fontId="4" fillId="0" borderId="0" xfId="0" applyFont="1" applyAlignment="1"/>
    <xf numFmtId="37" fontId="4" fillId="0" borderId="7" xfId="0" applyNumberFormat="1" applyFont="1" applyBorder="1" applyAlignment="1"/>
    <xf numFmtId="37" fontId="4" fillId="0" borderId="8" xfId="0" applyNumberFormat="1" applyFont="1" applyBorder="1" applyAlignment="1"/>
    <xf numFmtId="0" fontId="4" fillId="0" borderId="7" xfId="0" applyFont="1" applyBorder="1" applyAlignment="1">
      <alignment horizontal="left"/>
    </xf>
    <xf numFmtId="37" fontId="4" fillId="0" borderId="7" xfId="0" applyNumberFormat="1" applyFont="1" applyBorder="1" applyAlignment="1" applyProtection="1"/>
    <xf numFmtId="37" fontId="4" fillId="0" borderId="8" xfId="0" applyNumberFormat="1" applyFont="1" applyBorder="1" applyAlignment="1" applyProtection="1"/>
    <xf numFmtId="38" fontId="4" fillId="0" borderId="7" xfId="0" applyNumberFormat="1" applyFont="1" applyBorder="1" applyAlignment="1"/>
    <xf numFmtId="38" fontId="4" fillId="0" borderId="8" xfId="0" applyNumberFormat="1" applyFont="1" applyBorder="1" applyAlignment="1"/>
    <xf numFmtId="0" fontId="4" fillId="0" borderId="5" xfId="0" applyFont="1" applyBorder="1" applyAlignment="1">
      <alignment horizontal="left"/>
    </xf>
    <xf numFmtId="0" fontId="4" fillId="0" borderId="5" xfId="0" applyFont="1" applyBorder="1" applyAlignment="1"/>
    <xf numFmtId="0" fontId="4" fillId="0" borderId="6" xfId="0" applyFont="1" applyBorder="1" applyAlignment="1"/>
    <xf numFmtId="0" fontId="3" fillId="3" borderId="5" xfId="0" applyFont="1" applyFill="1" applyBorder="1" applyAlignment="1">
      <alignment horizontal="left"/>
    </xf>
    <xf numFmtId="164" fontId="3" fillId="3" borderId="5" xfId="0" applyNumberFormat="1" applyFont="1" applyFill="1" applyBorder="1" applyAlignment="1" applyProtection="1"/>
    <xf numFmtId="164" fontId="3" fillId="3" borderId="6" xfId="0" applyNumberFormat="1" applyFont="1" applyFill="1" applyBorder="1" applyAlignment="1" applyProtection="1"/>
    <xf numFmtId="0" fontId="3" fillId="0" borderId="0" xfId="0" applyFont="1" applyFill="1" applyAlignment="1"/>
    <xf numFmtId="0" fontId="3" fillId="4" borderId="5" xfId="0" applyFont="1" applyFill="1" applyBorder="1" applyAlignment="1">
      <alignment horizontal="left"/>
    </xf>
    <xf numFmtId="164" fontId="3" fillId="0" borderId="5" xfId="0" applyNumberFormat="1" applyFont="1" applyBorder="1" applyAlignment="1" applyProtection="1"/>
    <xf numFmtId="164" fontId="3" fillId="0" borderId="6" xfId="0" applyNumberFormat="1" applyFont="1" applyBorder="1" applyAlignment="1" applyProtection="1"/>
    <xf numFmtId="0" fontId="3" fillId="4" borderId="7" xfId="0" applyFont="1" applyFill="1" applyBorder="1" applyAlignment="1">
      <alignment horizontal="left"/>
    </xf>
    <xf numFmtId="10" fontId="3" fillId="0" borderId="7" xfId="0" applyNumberFormat="1" applyFont="1" applyBorder="1" applyAlignment="1" applyProtection="1"/>
    <xf numFmtId="0" fontId="3" fillId="5" borderId="3" xfId="0" applyFont="1" applyFill="1" applyBorder="1" applyAlignment="1">
      <alignment horizontal="left"/>
    </xf>
    <xf numFmtId="7" fontId="4" fillId="0" borderId="7" xfId="0" applyNumberFormat="1" applyFont="1" applyBorder="1" applyAlignment="1" applyProtection="1"/>
    <xf numFmtId="7" fontId="4" fillId="0" borderId="7" xfId="0" applyNumberFormat="1" applyFont="1" applyFill="1" applyBorder="1" applyAlignment="1" applyProtection="1"/>
    <xf numFmtId="7" fontId="4" fillId="0" borderId="8" xfId="0" applyNumberFormat="1" applyFont="1" applyBorder="1" applyAlignment="1" applyProtection="1"/>
    <xf numFmtId="0" fontId="3" fillId="0" borderId="5" xfId="0" applyFont="1" applyBorder="1" applyAlignment="1">
      <alignment horizontal="left"/>
    </xf>
    <xf numFmtId="7" fontId="4" fillId="0" borderId="5" xfId="0" applyNumberFormat="1" applyFont="1" applyBorder="1" applyAlignment="1" applyProtection="1"/>
    <xf numFmtId="7" fontId="4" fillId="0" borderId="6" xfId="0" applyNumberFormat="1" applyFont="1" applyBorder="1" applyAlignment="1" applyProtection="1"/>
    <xf numFmtId="0" fontId="4" fillId="0" borderId="7" xfId="0" quotePrefix="1" applyFont="1" applyBorder="1" applyAlignment="1">
      <alignment horizontal="left"/>
    </xf>
    <xf numFmtId="37" fontId="4" fillId="0" borderId="0" xfId="0" applyNumberFormat="1" applyFont="1" applyAlignment="1"/>
    <xf numFmtId="165" fontId="4" fillId="0" borderId="0" xfId="2" applyNumberFormat="1" applyFont="1"/>
    <xf numFmtId="0" fontId="3" fillId="0" borderId="5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43" fontId="4" fillId="0" borderId="0" xfId="0" applyNumberFormat="1" applyFont="1" applyAlignment="1"/>
    <xf numFmtId="7" fontId="3" fillId="0" borderId="5" xfId="0" applyNumberFormat="1" applyFont="1" applyBorder="1" applyAlignment="1" applyProtection="1"/>
    <xf numFmtId="7" fontId="3" fillId="6" borderId="5" xfId="0" applyNumberFormat="1" applyFont="1" applyFill="1" applyBorder="1" applyAlignment="1" applyProtection="1"/>
    <xf numFmtId="7" fontId="3" fillId="0" borderId="6" xfId="0" applyNumberFormat="1" applyFont="1" applyBorder="1" applyAlignment="1" applyProtection="1"/>
    <xf numFmtId="0" fontId="3" fillId="0" borderId="0" xfId="0" applyFont="1" applyBorder="1" applyAlignment="1">
      <alignment horizontal="left"/>
    </xf>
    <xf numFmtId="7" fontId="3" fillId="0" borderId="0" xfId="0" applyNumberFormat="1" applyFont="1" applyFill="1" applyBorder="1" applyAlignment="1" applyProtection="1"/>
    <xf numFmtId="7" fontId="3" fillId="0" borderId="0" xfId="0" applyNumberFormat="1" applyFont="1" applyBorder="1" applyAlignment="1" applyProtection="1"/>
    <xf numFmtId="43" fontId="3" fillId="0" borderId="0" xfId="2" applyFont="1" applyBorder="1" applyProtection="1"/>
    <xf numFmtId="43" fontId="3" fillId="0" borderId="0" xfId="2" applyFont="1" applyFill="1" applyBorder="1" applyProtection="1"/>
    <xf numFmtId="7" fontId="4" fillId="0" borderId="0" xfId="0" applyNumberFormat="1" applyFont="1" applyAlignment="1"/>
    <xf numFmtId="37" fontId="3" fillId="0" borderId="0" xfId="0" applyNumberFormat="1" applyFont="1" applyFill="1" applyBorder="1" applyAlignment="1" applyProtection="1"/>
    <xf numFmtId="0" fontId="4" fillId="0" borderId="0" xfId="0" applyFont="1" applyBorder="1" applyAlignment="1"/>
    <xf numFmtId="7" fontId="4" fillId="0" borderId="0" xfId="0" applyNumberFormat="1" applyFont="1" applyBorder="1" applyAlignment="1"/>
    <xf numFmtId="7" fontId="4" fillId="0" borderId="9" xfId="0" applyNumberFormat="1" applyFont="1" applyBorder="1" applyAlignment="1"/>
    <xf numFmtId="37" fontId="4" fillId="0" borderId="10" xfId="0" applyNumberFormat="1" applyFont="1" applyBorder="1" applyAlignment="1"/>
    <xf numFmtId="37" fontId="4" fillId="0" borderId="0" xfId="0" applyNumberFormat="1" applyFont="1" applyBorder="1" applyAlignment="1"/>
    <xf numFmtId="37" fontId="4" fillId="0" borderId="11" xfId="0" applyNumberFormat="1" applyFont="1" applyBorder="1" applyAlignment="1"/>
    <xf numFmtId="37" fontId="6" fillId="0" borderId="11" xfId="0" applyNumberFormat="1" applyFont="1" applyBorder="1" applyAlignment="1"/>
    <xf numFmtId="0" fontId="3" fillId="0" borderId="0" xfId="0" applyFont="1" applyBorder="1" applyAlignment="1"/>
    <xf numFmtId="37" fontId="4" fillId="0" borderId="12" xfId="0" applyNumberFormat="1" applyFont="1" applyBorder="1" applyAlignment="1"/>
    <xf numFmtId="37" fontId="3" fillId="0" borderId="13" xfId="0" applyNumberFormat="1" applyFont="1" applyBorder="1" applyAlignment="1"/>
    <xf numFmtId="38" fontId="4" fillId="0" borderId="0" xfId="0" applyNumberFormat="1" applyFont="1" applyAlignment="1"/>
    <xf numFmtId="38" fontId="4" fillId="0" borderId="0" xfId="0" applyNumberFormat="1" applyFont="1" applyBorder="1" applyAlignment="1"/>
    <xf numFmtId="37" fontId="3" fillId="0" borderId="0" xfId="0" applyNumberFormat="1" applyFont="1" applyBorder="1" applyAlignment="1"/>
    <xf numFmtId="0" fontId="4" fillId="0" borderId="0" xfId="0" applyFont="1" applyAlignment="1">
      <alignment horizontal="fill"/>
    </xf>
    <xf numFmtId="0" fontId="4" fillId="0" borderId="1" xfId="0" applyFont="1" applyBorder="1" applyAlignment="1"/>
    <xf numFmtId="7" fontId="4" fillId="2" borderId="7" xfId="0" applyNumberFormat="1" applyFont="1" applyFill="1" applyBorder="1" applyAlignment="1" applyProtection="1"/>
    <xf numFmtId="40" fontId="4" fillId="0" borderId="7" xfId="0" applyNumberFormat="1" applyFont="1" applyBorder="1" applyAlignment="1" applyProtection="1"/>
    <xf numFmtId="40" fontId="4" fillId="2" borderId="7" xfId="0" applyNumberFormat="1" applyFont="1" applyFill="1" applyBorder="1" applyAlignment="1" applyProtection="1"/>
    <xf numFmtId="0" fontId="4" fillId="0" borderId="7" xfId="0" applyNumberFormat="1" applyFont="1" applyBorder="1" applyAlignment="1" applyProtection="1"/>
    <xf numFmtId="0" fontId="4" fillId="2" borderId="7" xfId="0" applyNumberFormat="1" applyFont="1" applyFill="1" applyBorder="1" applyAlignment="1" applyProtection="1"/>
    <xf numFmtId="166" fontId="4" fillId="0" borderId="7" xfId="0" applyNumberFormat="1" applyFont="1" applyBorder="1" applyAlignment="1" applyProtection="1"/>
    <xf numFmtId="39" fontId="4" fillId="0" borderId="7" xfId="0" applyNumberFormat="1" applyFont="1" applyBorder="1" applyAlignment="1" applyProtection="1"/>
    <xf numFmtId="40" fontId="4" fillId="4" borderId="7" xfId="0" applyNumberFormat="1" applyFont="1" applyFill="1" applyBorder="1" applyAlignment="1" applyProtection="1"/>
    <xf numFmtId="166" fontId="4" fillId="2" borderId="7" xfId="0" applyNumberFormat="1" applyFont="1" applyFill="1" applyBorder="1" applyAlignment="1" applyProtection="1"/>
    <xf numFmtId="7" fontId="4" fillId="2" borderId="5" xfId="0" applyNumberFormat="1" applyFont="1" applyFill="1" applyBorder="1" applyAlignment="1" applyProtection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0" xfId="0" applyNumberFormat="1" applyFont="1" applyAlignment="1"/>
    <xf numFmtId="0" fontId="4" fillId="0" borderId="2" xfId="0" applyFont="1" applyBorder="1" applyAlignment="1"/>
    <xf numFmtId="41" fontId="4" fillId="0" borderId="7" xfId="0" applyNumberFormat="1" applyFont="1" applyBorder="1" applyAlignment="1" applyProtection="1"/>
    <xf numFmtId="41" fontId="4" fillId="0" borderId="8" xfId="0" applyNumberFormat="1" applyFont="1" applyBorder="1" applyAlignment="1" applyProtection="1"/>
    <xf numFmtId="41" fontId="3" fillId="0" borderId="5" xfId="0" applyNumberFormat="1" applyFont="1" applyBorder="1" applyAlignment="1" applyProtection="1"/>
    <xf numFmtId="41" fontId="3" fillId="0" borderId="6" xfId="0" applyNumberFormat="1" applyFont="1" applyBorder="1" applyAlignment="1" applyProtection="1"/>
    <xf numFmtId="41" fontId="4" fillId="0" borderId="5" xfId="0" applyNumberFormat="1" applyFont="1" applyBorder="1" applyAlignment="1" applyProtection="1"/>
    <xf numFmtId="41" fontId="4" fillId="0" borderId="6" xfId="0" applyNumberFormat="1" applyFont="1" applyBorder="1" applyAlignment="1" applyProtection="1"/>
    <xf numFmtId="41" fontId="3" fillId="6" borderId="5" xfId="0" applyNumberFormat="1" applyFont="1" applyFill="1" applyBorder="1" applyAlignment="1" applyProtection="1"/>
    <xf numFmtId="165" fontId="0" fillId="0" borderId="0" xfId="1" applyNumberFormat="1" applyFont="1"/>
    <xf numFmtId="0" fontId="0" fillId="0" borderId="0" xfId="0" applyAlignment="1">
      <alignment horizontal="center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/>
    <xf numFmtId="0" fontId="5" fillId="0" borderId="0" xfId="0" applyFont="1" applyFill="1" applyAlignment="1">
      <alignment horizontal="left" wrapText="1"/>
    </xf>
    <xf numFmtId="165" fontId="0" fillId="0" borderId="0" xfId="1" applyNumberFormat="1" applyFont="1" applyFill="1"/>
    <xf numFmtId="43" fontId="0" fillId="0" borderId="0" xfId="1" applyFont="1"/>
    <xf numFmtId="165" fontId="0" fillId="7" borderId="0" xfId="1" applyNumberFormat="1" applyFont="1" applyFill="1"/>
    <xf numFmtId="6" fontId="5" fillId="0" borderId="0" xfId="0" applyNumberFormat="1" applyFont="1" applyAlignment="1">
      <alignment horizontal="right"/>
    </xf>
    <xf numFmtId="49" fontId="0" fillId="0" borderId="0" xfId="0" applyNumberFormat="1"/>
    <xf numFmtId="165" fontId="0" fillId="0" borderId="0" xfId="0" applyNumberFormat="1"/>
    <xf numFmtId="6" fontId="0" fillId="0" borderId="0" xfId="0" applyNumberFormat="1"/>
    <xf numFmtId="8" fontId="0" fillId="0" borderId="0" xfId="0" applyNumberFormat="1"/>
    <xf numFmtId="0" fontId="12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4" fillId="0" borderId="7" xfId="0" applyFont="1" applyFill="1" applyBorder="1" applyAlignment="1"/>
    <xf numFmtId="37" fontId="4" fillId="0" borderId="7" xfId="0" applyNumberFormat="1" applyFont="1" applyFill="1" applyBorder="1" applyAlignment="1"/>
    <xf numFmtId="37" fontId="4" fillId="0" borderId="7" xfId="0" applyNumberFormat="1" applyFont="1" applyFill="1" applyBorder="1" applyAlignment="1" applyProtection="1"/>
    <xf numFmtId="38" fontId="4" fillId="0" borderId="7" xfId="0" applyNumberFormat="1" applyFont="1" applyFill="1" applyBorder="1" applyAlignment="1"/>
    <xf numFmtId="0" fontId="4" fillId="0" borderId="5" xfId="0" applyFont="1" applyFill="1" applyBorder="1" applyAlignment="1"/>
    <xf numFmtId="164" fontId="3" fillId="0" borderId="5" xfId="0" applyNumberFormat="1" applyFont="1" applyFill="1" applyBorder="1" applyAlignment="1" applyProtection="1"/>
    <xf numFmtId="0" fontId="4" fillId="8" borderId="7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4" fillId="9" borderId="7" xfId="0" applyFont="1" applyFill="1" applyBorder="1" applyAlignment="1"/>
    <xf numFmtId="37" fontId="4" fillId="9" borderId="7" xfId="0" applyNumberFormat="1" applyFont="1" applyFill="1" applyBorder="1" applyAlignment="1"/>
    <xf numFmtId="37" fontId="4" fillId="9" borderId="7" xfId="0" applyNumberFormat="1" applyFont="1" applyFill="1" applyBorder="1" applyAlignment="1" applyProtection="1"/>
    <xf numFmtId="38" fontId="4" fillId="9" borderId="7" xfId="0" applyNumberFormat="1" applyFont="1" applyFill="1" applyBorder="1" applyAlignment="1"/>
    <xf numFmtId="0" fontId="4" fillId="9" borderId="5" xfId="0" applyFont="1" applyFill="1" applyBorder="1" applyAlignment="1"/>
    <xf numFmtId="164" fontId="3" fillId="9" borderId="5" xfId="0" applyNumberFormat="1" applyFont="1" applyFill="1" applyBorder="1" applyAlignment="1" applyProtection="1"/>
    <xf numFmtId="10" fontId="3" fillId="9" borderId="7" xfId="0" applyNumberFormat="1" applyFont="1" applyFill="1" applyBorder="1" applyAlignment="1" applyProtection="1"/>
    <xf numFmtId="7" fontId="4" fillId="9" borderId="7" xfId="0" applyNumberFormat="1" applyFont="1" applyFill="1" applyBorder="1" applyAlignment="1" applyProtection="1"/>
    <xf numFmtId="7" fontId="4" fillId="9" borderId="5" xfId="0" applyNumberFormat="1" applyFont="1" applyFill="1" applyBorder="1" applyAlignment="1" applyProtection="1"/>
    <xf numFmtId="43" fontId="4" fillId="9" borderId="7" xfId="0" applyNumberFormat="1" applyFont="1" applyFill="1" applyBorder="1" applyAlignment="1" applyProtection="1"/>
    <xf numFmtId="7" fontId="3" fillId="9" borderId="5" xfId="0" applyNumberFormat="1" applyFont="1" applyFill="1" applyBorder="1" applyAlignment="1" applyProtection="1"/>
    <xf numFmtId="7" fontId="0" fillId="0" borderId="0" xfId="1" applyNumberFormat="1" applyFont="1"/>
    <xf numFmtId="0" fontId="3" fillId="0" borderId="2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4" fillId="0" borderId="8" xfId="0" applyFont="1" applyFill="1" applyBorder="1" applyAlignment="1"/>
    <xf numFmtId="37" fontId="4" fillId="0" borderId="8" xfId="0" applyNumberFormat="1" applyFont="1" applyFill="1" applyBorder="1" applyAlignment="1"/>
    <xf numFmtId="37" fontId="4" fillId="0" borderId="8" xfId="0" applyNumberFormat="1" applyFont="1" applyFill="1" applyBorder="1" applyAlignment="1" applyProtection="1"/>
    <xf numFmtId="38" fontId="4" fillId="0" borderId="8" xfId="0" applyNumberFormat="1" applyFont="1" applyFill="1" applyBorder="1" applyAlignment="1"/>
    <xf numFmtId="0" fontId="4" fillId="0" borderId="6" xfId="0" applyFont="1" applyFill="1" applyBorder="1" applyAlignment="1"/>
    <xf numFmtId="164" fontId="3" fillId="0" borderId="6" xfId="0" applyNumberFormat="1" applyFont="1" applyFill="1" applyBorder="1" applyAlignment="1" applyProtection="1"/>
    <xf numFmtId="10" fontId="3" fillId="0" borderId="8" xfId="0" applyNumberFormat="1" applyFont="1" applyBorder="1" applyAlignment="1" applyProtection="1"/>
    <xf numFmtId="7" fontId="4" fillId="0" borderId="8" xfId="0" applyNumberFormat="1" applyFont="1" applyFill="1" applyBorder="1" applyAlignment="1" applyProtection="1"/>
    <xf numFmtId="0" fontId="13" fillId="0" borderId="0" xfId="0" applyFont="1" applyFill="1" applyAlignment="1">
      <alignment horizontal="left" wrapText="1"/>
    </xf>
    <xf numFmtId="165" fontId="2" fillId="0" borderId="0" xfId="1" applyNumberFormat="1" applyFont="1" applyFill="1"/>
    <xf numFmtId="43" fontId="0" fillId="0" borderId="0" xfId="1" applyFont="1" applyBorder="1"/>
    <xf numFmtId="44" fontId="0" fillId="0" borderId="0" xfId="1" applyNumberFormat="1" applyFont="1"/>
    <xf numFmtId="44" fontId="0" fillId="0" borderId="4" xfId="1" applyNumberFormat="1" applyFont="1" applyBorder="1"/>
    <xf numFmtId="44" fontId="2" fillId="0" borderId="4" xfId="1" applyNumberFormat="1" applyFont="1" applyBorder="1"/>
    <xf numFmtId="40" fontId="15" fillId="10" borderId="0" xfId="1" applyNumberFormat="1" applyFont="1" applyFill="1" applyBorder="1" applyProtection="1"/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8" fontId="3" fillId="11" borderId="0" xfId="0" applyNumberFormat="1" applyFont="1" applyFill="1" applyAlignment="1"/>
    <xf numFmtId="168" fontId="4" fillId="0" borderId="0" xfId="0" applyNumberFormat="1" applyFont="1" applyAlignment="1"/>
    <xf numFmtId="168" fontId="3" fillId="0" borderId="0" xfId="0" applyNumberFormat="1" applyFont="1" applyFill="1" applyAlignment="1"/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0" fontId="4" fillId="0" borderId="7" xfId="0" applyNumberFormat="1" applyFont="1" applyBorder="1" applyAlignment="1" applyProtection="1"/>
    <xf numFmtId="5" fontId="4" fillId="0" borderId="7" xfId="0" applyNumberFormat="1" applyFont="1" applyBorder="1" applyAlignment="1" applyProtection="1"/>
    <xf numFmtId="43" fontId="4" fillId="0" borderId="5" xfId="1" applyFont="1" applyBorder="1" applyProtection="1"/>
    <xf numFmtId="8" fontId="4" fillId="0" borderId="7" xfId="0" applyNumberFormat="1" applyFont="1" applyBorder="1" applyAlignment="1" applyProtection="1"/>
    <xf numFmtId="0" fontId="4" fillId="0" borderId="5" xfId="0" quotePrefix="1" applyFont="1" applyBorder="1" applyAlignment="1">
      <alignment horizontal="left"/>
    </xf>
    <xf numFmtId="10" fontId="4" fillId="0" borderId="5" xfId="0" applyNumberFormat="1" applyFont="1" applyBorder="1" applyAlignment="1" applyProtection="1"/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169" fontId="3" fillId="0" borderId="5" xfId="0" applyNumberFormat="1" applyFont="1" applyBorder="1" applyAlignment="1" applyProtection="1"/>
    <xf numFmtId="0" fontId="2" fillId="0" borderId="0" xfId="0" applyFont="1" applyAlignment="1">
      <alignment horizontal="center"/>
    </xf>
    <xf numFmtId="0" fontId="14" fillId="0" borderId="0" xfId="0" applyFont="1"/>
    <xf numFmtId="0" fontId="2" fillId="0" borderId="15" xfId="0" applyFont="1" applyBorder="1"/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/>
    <xf numFmtId="7" fontId="0" fillId="0" borderId="15" xfId="0" applyNumberFormat="1" applyBorder="1"/>
    <xf numFmtId="167" fontId="0" fillId="0" borderId="15" xfId="0" applyNumberFormat="1" applyBorder="1"/>
    <xf numFmtId="6" fontId="5" fillId="0" borderId="15" xfId="0" applyNumberFormat="1" applyFont="1" applyBorder="1" applyAlignment="1">
      <alignment horizontal="right"/>
    </xf>
    <xf numFmtId="49" fontId="0" fillId="0" borderId="15" xfId="0" applyNumberFormat="1" applyBorder="1"/>
    <xf numFmtId="165" fontId="5" fillId="0" borderId="15" xfId="0" applyNumberFormat="1" applyFont="1" applyBorder="1" applyAlignment="1">
      <alignment horizontal="right"/>
    </xf>
    <xf numFmtId="38" fontId="5" fillId="0" borderId="15" xfId="1" applyNumberFormat="1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7" fontId="0" fillId="0" borderId="14" xfId="1" applyNumberFormat="1" applyFont="1" applyBorder="1"/>
    <xf numFmtId="0" fontId="2" fillId="0" borderId="3" xfId="0" applyFont="1" applyBorder="1"/>
    <xf numFmtId="0" fontId="2" fillId="0" borderId="4" xfId="0" applyFont="1" applyBorder="1"/>
    <xf numFmtId="165" fontId="0" fillId="0" borderId="15" xfId="1" applyNumberFormat="1" applyFont="1" applyBorder="1"/>
    <xf numFmtId="0" fontId="16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17543</xdr:colOff>
      <xdr:row>8</xdr:row>
      <xdr:rowOff>72330</xdr:rowOff>
    </xdr:from>
    <xdr:ext cx="5380453" cy="1850804"/>
    <xdr:sp macro="" textlink="">
      <xdr:nvSpPr>
        <xdr:cNvPr id="2" name="TextBox 1"/>
        <xdr:cNvSpPr txBox="1"/>
      </xdr:nvSpPr>
      <xdr:spPr>
        <a:xfrm rot="19707381">
          <a:off x="17543" y="1596330"/>
          <a:ext cx="5380453" cy="1850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800">
              <a:solidFill>
                <a:schemeClr val="tx1"/>
              </a:solidFill>
              <a:latin typeface="+mn-lt"/>
              <a:ea typeface="+mn-ea"/>
              <a:cs typeface="+mn-cs"/>
            </a:rPr>
            <a:t>DRAFT</a:t>
          </a:r>
          <a:endParaRPr lang="en-US" sz="8800"/>
        </a:p>
        <a:p>
          <a:pPr algn="ctr"/>
          <a:endParaRPr lang="en-US" sz="88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862102</xdr:colOff>
      <xdr:row>3</xdr:row>
      <xdr:rowOff>102329</xdr:rowOff>
    </xdr:from>
    <xdr:ext cx="4940304" cy="1283710"/>
    <xdr:sp macro="" textlink="">
      <xdr:nvSpPr>
        <xdr:cNvPr id="2" name="TextBox 1"/>
        <xdr:cNvSpPr txBox="1"/>
      </xdr:nvSpPr>
      <xdr:spPr>
        <a:xfrm rot="20329137">
          <a:off x="862102" y="778604"/>
          <a:ext cx="4940304" cy="128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9600">
              <a:latin typeface="Angsana New" pitchFamily="18" charset="-34"/>
              <a:cs typeface="Angsana New" pitchFamily="18" charset="-34"/>
            </a:rPr>
            <a:t>DRAFT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san.Andrews\AppData\Local\Microsoft\Windows\INetCache\Content.Outlook\6CM7MTJP\Education%20Funding%20Committee\Data\GDOE\FY2016%20QBE%20to%20John%20Dun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%20Dunn\AppData\Local\Microsoft\Windows\Temporary%20Internet%20Files\Content.Outlook\QB3PM9UH\Model%20v7%203.1TE%20not%20in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TEs X Weights"/>
      <sheetName val="16 earnings"/>
      <sheetName val="teach 16"/>
      <sheetName val="16 weights"/>
      <sheetName val="Charter Systems"/>
      <sheetName val="FTE"/>
      <sheetName val="MOWR Year 1 - Updated"/>
      <sheetName val="MOWR Year 2 - Updated"/>
      <sheetName val="supts."/>
      <sheetName val="principals"/>
      <sheetName val="sped-itin "/>
      <sheetName val="ssupp spch"/>
      <sheetName val="FY16 School Nurses"/>
      <sheetName val="SHBP Participation Rate"/>
      <sheetName val="SB10 MOWR 15 Salary Detail"/>
      <sheetName val="SB10 MOWR 15 Weights H.I."/>
      <sheetName val="SB10 Calculation"/>
      <sheetName val="salary #s"/>
      <sheetName val="media"/>
      <sheetName val="textbooks"/>
      <sheetName val="sparsity-alt"/>
      <sheetName val="sparsity"/>
      <sheetName val="p.transp"/>
      <sheetName val="Move on When Ready"/>
      <sheetName val="Charter Supplemental grant"/>
      <sheetName val="Positions Summary"/>
      <sheetName val="Positions Detail"/>
      <sheetName val="Charter Grant"/>
      <sheetName val="Transportation OPB"/>
      <sheetName val="Counselors"/>
      <sheetName val="Salary Info"/>
      <sheetName val="Formula Weights"/>
      <sheetName val="Operations Detail"/>
      <sheetName val="Systems Earnings"/>
      <sheetName val="CO Hold Harmless"/>
      <sheetName val="Math and Science"/>
      <sheetName val="Accruals"/>
      <sheetName val="Accruals By District Quick"/>
      <sheetName val="Accruals LFS-Austerity"/>
      <sheetName val="Principals - School"/>
      <sheetName val="Sheet1"/>
    </sheetNames>
    <sheetDataSet>
      <sheetData sheetId="0" refreshError="1"/>
      <sheetData sheetId="1" refreshError="1"/>
      <sheetData sheetId="2">
        <row r="7">
          <cell r="CO7">
            <v>33424</v>
          </cell>
        </row>
        <row r="9">
          <cell r="CN9">
            <v>0</v>
          </cell>
        </row>
        <row r="10">
          <cell r="CN10">
            <v>1.4500000000000001E-2</v>
          </cell>
        </row>
        <row r="212">
          <cell r="AF212">
            <v>20552</v>
          </cell>
          <cell r="AH212">
            <v>19754</v>
          </cell>
        </row>
      </sheetData>
      <sheetData sheetId="3">
        <row r="2196">
          <cell r="E2196">
            <v>2445069228.1700006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14">
          <cell r="K214">
            <v>41516321.399999984</v>
          </cell>
          <cell r="M214">
            <v>24942140.620399732</v>
          </cell>
        </row>
      </sheetData>
      <sheetData sheetId="10">
        <row r="210">
          <cell r="G210">
            <v>105127483.5</v>
          </cell>
          <cell r="H210">
            <v>74849132.449946061</v>
          </cell>
        </row>
      </sheetData>
      <sheetData sheetId="11">
        <row r="215">
          <cell r="AH215">
            <v>938819.75716540392</v>
          </cell>
        </row>
      </sheetData>
      <sheetData sheetId="12">
        <row r="212">
          <cell r="E212">
            <v>5501786.9008674249</v>
          </cell>
        </row>
      </sheetData>
      <sheetData sheetId="13" refreshError="1"/>
      <sheetData sheetId="14">
        <row r="201">
          <cell r="J201">
            <v>1099617120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0">
          <cell r="C10">
            <v>33424</v>
          </cell>
        </row>
        <row r="16">
          <cell r="C16">
            <v>38828.252800000002</v>
          </cell>
        </row>
        <row r="24">
          <cell r="C24">
            <v>33424</v>
          </cell>
        </row>
        <row r="28">
          <cell r="C28">
            <v>38678.252800000002</v>
          </cell>
        </row>
        <row r="35">
          <cell r="C35">
            <v>16187.4882</v>
          </cell>
        </row>
      </sheetData>
      <sheetData sheetId="32">
        <row r="7">
          <cell r="B7">
            <v>450</v>
          </cell>
          <cell r="I7">
            <v>624</v>
          </cell>
          <cell r="S7">
            <v>100</v>
          </cell>
          <cell r="T7">
            <v>624</v>
          </cell>
        </row>
        <row r="8">
          <cell r="S8">
            <v>15</v>
          </cell>
          <cell r="T8">
            <v>15</v>
          </cell>
        </row>
        <row r="12">
          <cell r="S12">
            <v>450</v>
          </cell>
        </row>
        <row r="13">
          <cell r="S13">
            <v>2475</v>
          </cell>
          <cell r="T13">
            <v>2475</v>
          </cell>
        </row>
        <row r="14">
          <cell r="S14">
            <v>2475</v>
          </cell>
          <cell r="T14">
            <v>2475</v>
          </cell>
        </row>
        <row r="15">
          <cell r="S15">
            <v>1100</v>
          </cell>
          <cell r="T15">
            <v>1100</v>
          </cell>
        </row>
      </sheetData>
      <sheetData sheetId="33">
        <row r="15">
          <cell r="P15">
            <v>422.41560571428568</v>
          </cell>
        </row>
        <row r="25">
          <cell r="K25">
            <v>0</v>
          </cell>
          <cell r="M25">
            <v>0</v>
          </cell>
          <cell r="N25">
            <v>0</v>
          </cell>
          <cell r="O25">
            <v>0</v>
          </cell>
          <cell r="R25">
            <v>0</v>
          </cell>
          <cell r="S25">
            <v>0</v>
          </cell>
          <cell r="T25">
            <v>0</v>
          </cell>
        </row>
        <row r="31">
          <cell r="S31">
            <v>6.06</v>
          </cell>
          <cell r="T31">
            <v>6.06</v>
          </cell>
        </row>
        <row r="34">
          <cell r="S34">
            <v>298</v>
          </cell>
          <cell r="T34">
            <v>298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ummary"/>
      <sheetName val="System Earnings"/>
      <sheetName val="Formula Weights"/>
      <sheetName val="Operations Detail"/>
      <sheetName val="Salary info"/>
      <sheetName val="Enrollment"/>
      <sheetName val="CTAE"/>
      <sheetName val="shbp"/>
      <sheetName val="School Nuses"/>
      <sheetName val="Supts"/>
      <sheetName val="Principals"/>
      <sheetName val="Special Ed Counts"/>
      <sheetName val="Limited English"/>
      <sheetName val="Supts 2"/>
      <sheetName val="T&amp;E"/>
      <sheetName val="SP ed % of time"/>
      <sheetName val="Gifted"/>
      <sheetName val="Poverty"/>
      <sheetName val="Sheet1"/>
    </sheetNames>
    <sheetDataSet>
      <sheetData sheetId="0"/>
      <sheetData sheetId="1"/>
      <sheetData sheetId="2"/>
      <sheetData sheetId="3">
        <row r="7">
          <cell r="I7">
            <v>624</v>
          </cell>
        </row>
      </sheetData>
      <sheetData sheetId="4">
        <row r="15">
          <cell r="I15">
            <v>85.798965714285714</v>
          </cell>
        </row>
        <row r="25">
          <cell r="E25">
            <v>0</v>
          </cell>
          <cell r="I25">
            <v>0</v>
          </cell>
          <cell r="J25">
            <v>0</v>
          </cell>
        </row>
        <row r="31">
          <cell r="K31">
            <v>0.76000000000000068</v>
          </cell>
        </row>
        <row r="40">
          <cell r="E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R40">
            <v>0</v>
          </cell>
          <cell r="S40">
            <v>13.03</v>
          </cell>
          <cell r="T40">
            <v>13.03</v>
          </cell>
        </row>
      </sheetData>
      <sheetData sheetId="5">
        <row r="10">
          <cell r="C10">
            <v>33424</v>
          </cell>
        </row>
      </sheetData>
      <sheetData sheetId="6"/>
      <sheetData sheetId="7"/>
      <sheetData sheetId="8"/>
      <sheetData sheetId="9">
        <row r="209">
          <cell r="AO209">
            <v>19.893955629965767</v>
          </cell>
        </row>
      </sheetData>
      <sheetData sheetId="10"/>
      <sheetData sheetId="11">
        <row r="214">
          <cell r="G214">
            <v>61.930880290215534</v>
          </cell>
        </row>
      </sheetData>
      <sheetData sheetId="12"/>
      <sheetData sheetId="13"/>
      <sheetData sheetId="14">
        <row r="218">
          <cell r="K218">
            <v>24.779826065317025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" workbookViewId="0">
      <selection activeCell="F16" sqref="F16"/>
    </sheetView>
  </sheetViews>
  <sheetFormatPr defaultRowHeight="15" x14ac:dyDescent="0.25"/>
  <cols>
    <col min="1" max="1" width="3.42578125" customWidth="1"/>
    <col min="2" max="2" width="59.42578125" customWidth="1"/>
    <col min="3" max="3" width="16.5703125" customWidth="1"/>
  </cols>
  <sheetData>
    <row r="1" spans="1:6" x14ac:dyDescent="0.25">
      <c r="A1" s="99" t="s">
        <v>175</v>
      </c>
    </row>
    <row r="3" spans="1:6" x14ac:dyDescent="0.25">
      <c r="A3" s="99" t="s">
        <v>129</v>
      </c>
      <c r="C3" s="167" t="s">
        <v>176</v>
      </c>
    </row>
    <row r="4" spans="1:6" x14ac:dyDescent="0.25">
      <c r="B4" t="s">
        <v>113</v>
      </c>
      <c r="C4" s="133">
        <f>+'Formula Weights'!B24</f>
        <v>1176.4645250431779</v>
      </c>
    </row>
    <row r="5" spans="1:6" x14ac:dyDescent="0.25">
      <c r="B5" t="s">
        <v>118</v>
      </c>
      <c r="C5" s="133">
        <f>+'Formula Weights'!B26</f>
        <v>75.352551111111111</v>
      </c>
    </row>
    <row r="6" spans="1:6" x14ac:dyDescent="0.25">
      <c r="B6" t="s">
        <v>117</v>
      </c>
      <c r="C6" s="133">
        <f>+'Formula Weights'!B27</f>
        <v>14.808107826086957</v>
      </c>
    </row>
    <row r="7" spans="1:6" x14ac:dyDescent="0.25">
      <c r="B7" t="s">
        <v>119</v>
      </c>
      <c r="C7" s="133">
        <f>+'Formula Weights'!B28</f>
        <v>30.826043636363636</v>
      </c>
    </row>
    <row r="8" spans="1:6" x14ac:dyDescent="0.25">
      <c r="B8" t="s">
        <v>125</v>
      </c>
      <c r="C8" s="133">
        <f>+'Formula Weights'!B29</f>
        <v>85.798965714285714</v>
      </c>
    </row>
    <row r="9" spans="1:6" x14ac:dyDescent="0.25">
      <c r="B9" t="s">
        <v>130</v>
      </c>
      <c r="C9" s="148">
        <f>SUM(C4:C8)</f>
        <v>1383.2501933310255</v>
      </c>
    </row>
    <row r="10" spans="1:6" x14ac:dyDescent="0.25">
      <c r="C10" s="146"/>
    </row>
    <row r="11" spans="1:6" x14ac:dyDescent="0.25">
      <c r="A11" s="99" t="s">
        <v>131</v>
      </c>
      <c r="C11" s="102"/>
    </row>
    <row r="12" spans="1:6" x14ac:dyDescent="0.25">
      <c r="A12" s="99"/>
      <c r="B12" t="s">
        <v>126</v>
      </c>
      <c r="C12" s="133">
        <f>+'Formula Weights'!B35</f>
        <v>9.389826065317024</v>
      </c>
    </row>
    <row r="13" spans="1:6" x14ac:dyDescent="0.25">
      <c r="A13" s="99"/>
      <c r="B13" t="s">
        <v>120</v>
      </c>
      <c r="C13" s="133">
        <f>+'Formula Weights'!B36</f>
        <v>13.700463838383838</v>
      </c>
    </row>
    <row r="14" spans="1:6" x14ac:dyDescent="0.25">
      <c r="A14" s="99"/>
      <c r="B14" t="s">
        <v>121</v>
      </c>
      <c r="C14" s="133">
        <f>+'Formula Weights'!B38</f>
        <v>13.700463838383838</v>
      </c>
    </row>
    <row r="15" spans="1:6" x14ac:dyDescent="0.25">
      <c r="B15" t="s">
        <v>127</v>
      </c>
      <c r="C15" s="102">
        <f>+'Formula Weights'!B43</f>
        <v>61.930880290215534</v>
      </c>
    </row>
    <row r="16" spans="1:6" x14ac:dyDescent="0.25">
      <c r="B16" t="s">
        <v>122</v>
      </c>
      <c r="C16" s="133">
        <f>+'Formula Weights'!B44</f>
        <v>54.340782051282055</v>
      </c>
      <c r="F16" s="168"/>
    </row>
    <row r="17" spans="1:3" x14ac:dyDescent="0.25">
      <c r="B17" t="s">
        <v>123</v>
      </c>
      <c r="C17" s="133">
        <f>+'Formula Weights'!B45</f>
        <v>22.701923076923077</v>
      </c>
    </row>
    <row r="18" spans="1:3" x14ac:dyDescent="0.25">
      <c r="B18" t="s">
        <v>128</v>
      </c>
      <c r="C18" s="133">
        <f>+'Formula Weights'!B46</f>
        <v>6.06</v>
      </c>
    </row>
    <row r="19" spans="1:3" x14ac:dyDescent="0.25">
      <c r="B19" t="s">
        <v>124</v>
      </c>
      <c r="C19" s="133">
        <f>+'Formula Weights'!B49</f>
        <v>298</v>
      </c>
    </row>
    <row r="20" spans="1:3" x14ac:dyDescent="0.25">
      <c r="B20" t="s">
        <v>132</v>
      </c>
      <c r="C20" s="148">
        <f>SUM(C12:C19)</f>
        <v>479.82433916050536</v>
      </c>
    </row>
    <row r="21" spans="1:3" x14ac:dyDescent="0.25">
      <c r="C21" s="102"/>
    </row>
    <row r="22" spans="1:3" x14ac:dyDescent="0.25">
      <c r="A22" t="s">
        <v>133</v>
      </c>
      <c r="C22" s="133">
        <f>+'Formula Weights'!B56</f>
        <v>73.876782051282049</v>
      </c>
    </row>
    <row r="23" spans="1:3" x14ac:dyDescent="0.25">
      <c r="C23" s="102"/>
    </row>
    <row r="24" spans="1:3" x14ac:dyDescent="0.25">
      <c r="A24" t="s">
        <v>134</v>
      </c>
      <c r="C24" s="133">
        <f>+'Formula Weights'!B60</f>
        <v>14.614370989707142</v>
      </c>
    </row>
    <row r="25" spans="1:3" x14ac:dyDescent="0.25">
      <c r="C25" s="102"/>
    </row>
    <row r="26" spans="1:3" x14ac:dyDescent="0.25">
      <c r="A26" t="s">
        <v>135</v>
      </c>
      <c r="C26" s="133">
        <f>+'Formula Weights'!B62</f>
        <v>19.893955629965767</v>
      </c>
    </row>
    <row r="27" spans="1:3" x14ac:dyDescent="0.25">
      <c r="C27" s="147"/>
    </row>
    <row r="28" spans="1:3" x14ac:dyDescent="0.25">
      <c r="A28" t="s">
        <v>136</v>
      </c>
      <c r="C28" s="133">
        <f>+'Formula Weights'!B66</f>
        <v>75.23</v>
      </c>
    </row>
    <row r="29" spans="1:3" x14ac:dyDescent="0.25">
      <c r="C29" s="147"/>
    </row>
    <row r="30" spans="1:3" x14ac:dyDescent="0.25">
      <c r="A30" t="s">
        <v>137</v>
      </c>
      <c r="C30" s="147">
        <v>0</v>
      </c>
    </row>
    <row r="32" spans="1:3" x14ac:dyDescent="0.25">
      <c r="C32" s="149">
        <f>SUM(C22:C31)+C20+C9</f>
        <v>2046.6896411624857</v>
      </c>
    </row>
    <row r="35" spans="1:2" x14ac:dyDescent="0.25">
      <c r="A35" t="s">
        <v>177</v>
      </c>
    </row>
    <row r="36" spans="1:2" x14ac:dyDescent="0.25">
      <c r="B36" t="s">
        <v>114</v>
      </c>
    </row>
    <row r="37" spans="1:2" x14ac:dyDescent="0.25">
      <c r="B37" t="s">
        <v>115</v>
      </c>
    </row>
    <row r="38" spans="1:2" x14ac:dyDescent="0.25">
      <c r="B38" t="s">
        <v>116</v>
      </c>
    </row>
  </sheetData>
  <pageMargins left="0.7" right="0.7" top="0.75" bottom="0.75" header="0.3" footer="0.3"/>
  <pageSetup orientation="portrait" horizontalDpi="0" verticalDpi="0" r:id="rId1"/>
  <headerFooter>
    <oddFooter>&amp;LJuly 16, 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topLeftCell="A3" workbookViewId="0">
      <selection activeCell="B19" sqref="B19"/>
    </sheetView>
  </sheetViews>
  <sheetFormatPr defaultRowHeight="15" x14ac:dyDescent="0.25"/>
  <cols>
    <col min="1" max="1" width="37.7109375" customWidth="1"/>
    <col min="2" max="2" width="49.28515625" customWidth="1"/>
    <col min="3" max="3" width="16.85546875" bestFit="1" customWidth="1"/>
    <col min="4" max="4" width="12.85546875" customWidth="1"/>
    <col min="5" max="5" width="16.85546875" bestFit="1" customWidth="1"/>
    <col min="6" max="6" width="16.5703125" hidden="1" customWidth="1"/>
    <col min="7" max="7" width="16.140625" hidden="1" customWidth="1"/>
    <col min="8" max="8" width="13.42578125" bestFit="1" customWidth="1"/>
    <col min="9" max="9" width="11.28515625" bestFit="1" customWidth="1"/>
  </cols>
  <sheetData>
    <row r="1" spans="1:9" ht="23.25" x14ac:dyDescent="0.35">
      <c r="A1" s="185" t="s">
        <v>180</v>
      </c>
      <c r="B1" s="185"/>
      <c r="C1" s="185"/>
      <c r="D1" s="185"/>
      <c r="E1" s="185"/>
    </row>
    <row r="3" spans="1:9" x14ac:dyDescent="0.25">
      <c r="A3" s="179" t="s">
        <v>86</v>
      </c>
      <c r="B3" s="180"/>
      <c r="C3" s="180"/>
      <c r="D3" s="180"/>
      <c r="E3" s="184">
        <v>1697497</v>
      </c>
      <c r="F3" s="95">
        <v>5313509947</v>
      </c>
      <c r="G3" s="95">
        <v>76058393</v>
      </c>
    </row>
    <row r="4" spans="1:9" x14ac:dyDescent="0.25">
      <c r="E4" s="95"/>
      <c r="F4" s="95">
        <v>15112544.358234396</v>
      </c>
      <c r="G4" s="95">
        <v>195158.51669600001</v>
      </c>
      <c r="H4" s="95"/>
    </row>
    <row r="5" spans="1:9" x14ac:dyDescent="0.25">
      <c r="A5" s="179" t="s">
        <v>183</v>
      </c>
      <c r="B5" s="180"/>
      <c r="C5" s="180"/>
      <c r="D5" s="180"/>
      <c r="E5" s="181">
        <f>+'Formula Weights'!B69</f>
        <v>2046.6896411624859</v>
      </c>
      <c r="F5" s="95">
        <f>33464363.8462336+2000+604</f>
        <v>33466967.846233599</v>
      </c>
      <c r="G5" s="95">
        <v>302962.29927114572</v>
      </c>
      <c r="H5" s="95"/>
    </row>
    <row r="6" spans="1:9" x14ac:dyDescent="0.25">
      <c r="E6" s="95"/>
      <c r="F6" s="95">
        <v>14893013.430893227</v>
      </c>
      <c r="G6" s="95"/>
      <c r="H6" s="95"/>
    </row>
    <row r="7" spans="1:9" x14ac:dyDescent="0.25">
      <c r="A7" s="182" t="s">
        <v>184</v>
      </c>
      <c r="B7" s="183"/>
      <c r="C7" s="180"/>
      <c r="D7" s="180"/>
      <c r="E7" s="175">
        <f>+'Formula Weights'!B72</f>
        <v>3474249525.8043966</v>
      </c>
      <c r="F7" s="95">
        <v>2131296421</v>
      </c>
      <c r="G7" s="95">
        <v>12259344</v>
      </c>
      <c r="H7" s="95"/>
    </row>
    <row r="8" spans="1:9" x14ac:dyDescent="0.25">
      <c r="E8" s="95"/>
      <c r="F8" s="95">
        <v>-461163600.27450508</v>
      </c>
      <c r="G8" s="95">
        <v>-5451552.7613859177</v>
      </c>
      <c r="H8" s="102"/>
    </row>
    <row r="9" spans="1:9" x14ac:dyDescent="0.25">
      <c r="A9" s="99" t="s">
        <v>181</v>
      </c>
      <c r="B9" s="99"/>
      <c r="F9" s="103">
        <f>SUM(F3:F8)</f>
        <v>7047115293.3608561</v>
      </c>
      <c r="G9" s="103">
        <f>SUM(G3:G8)</f>
        <v>83364305.05458124</v>
      </c>
      <c r="H9" s="95"/>
    </row>
    <row r="10" spans="1:9" ht="45" customHeight="1" x14ac:dyDescent="0.25">
      <c r="A10" s="169"/>
      <c r="B10" s="169"/>
      <c r="C10" s="170" t="s">
        <v>92</v>
      </c>
      <c r="D10" s="170" t="s">
        <v>93</v>
      </c>
      <c r="E10" s="171" t="s">
        <v>182</v>
      </c>
      <c r="F10" s="95"/>
      <c r="G10" s="95"/>
      <c r="H10" s="95"/>
    </row>
    <row r="11" spans="1:9" x14ac:dyDescent="0.25">
      <c r="A11" s="172" t="s">
        <v>94</v>
      </c>
      <c r="B11" s="172" t="s">
        <v>185</v>
      </c>
      <c r="C11" s="173">
        <f>+'Formula Weights'!C69</f>
        <v>543.97585636070846</v>
      </c>
      <c r="D11" s="174">
        <f>+'Formula Weights'!C18</f>
        <v>0.26578326553298975</v>
      </c>
      <c r="E11" s="175">
        <f>+'Formula Weights'!C72</f>
        <v>295097654.48612618</v>
      </c>
      <c r="F11" s="95">
        <v>937735140</v>
      </c>
      <c r="G11" s="95">
        <v>10774792</v>
      </c>
      <c r="H11" s="95"/>
    </row>
    <row r="12" spans="1:9" x14ac:dyDescent="0.25">
      <c r="A12" s="176" t="s">
        <v>9</v>
      </c>
      <c r="B12" s="176" t="s">
        <v>186</v>
      </c>
      <c r="C12" s="173">
        <f>+'Formula Weights'!D69</f>
        <v>383.90428571428566</v>
      </c>
      <c r="D12" s="174">
        <f>+'Formula Weights'!D18</f>
        <v>0.18757327832872323</v>
      </c>
      <c r="E12" s="175">
        <f>+'Formula Weights'!D72</f>
        <v>192355242.35714284</v>
      </c>
      <c r="F12" s="95">
        <v>1090522440</v>
      </c>
      <c r="G12" s="95">
        <v>9094680</v>
      </c>
      <c r="H12" s="95"/>
    </row>
    <row r="13" spans="1:9" x14ac:dyDescent="0.25">
      <c r="A13" s="176" t="s">
        <v>96</v>
      </c>
      <c r="B13" s="176" t="s">
        <v>178</v>
      </c>
      <c r="C13" s="173">
        <f>+'Formula Weights'!E69</f>
        <v>216.45471999999995</v>
      </c>
      <c r="D13" s="174">
        <f>+'Formula Weights'!E18</f>
        <v>0.10575844800634122</v>
      </c>
      <c r="E13" s="175">
        <f>+'Formula Weights'!E72</f>
        <v>58952308.81087999</v>
      </c>
      <c r="F13" s="95">
        <v>0</v>
      </c>
      <c r="G13" s="95">
        <v>65797179.526049577</v>
      </c>
      <c r="H13" s="95"/>
    </row>
    <row r="14" spans="1:9" x14ac:dyDescent="0.25">
      <c r="A14" s="176" t="s">
        <v>98</v>
      </c>
      <c r="B14" s="176" t="s">
        <v>187</v>
      </c>
      <c r="C14" s="173">
        <f>+'Formula Weights'!F69</f>
        <v>3102.7000400000002</v>
      </c>
      <c r="D14" s="174">
        <f>+'Formula Weights'!F18</f>
        <v>1.5159602010970836</v>
      </c>
      <c r="E14" s="175">
        <f>+'Formula Weights'!F72</f>
        <v>357967811.71492004</v>
      </c>
      <c r="F14" s="101">
        <v>20855097.674625222</v>
      </c>
      <c r="G14" s="101">
        <v>595875.10161366826</v>
      </c>
      <c r="H14" s="95"/>
    </row>
    <row r="15" spans="1:9" x14ac:dyDescent="0.25">
      <c r="A15" s="176" t="s">
        <v>100</v>
      </c>
      <c r="B15" s="176" t="s">
        <v>188</v>
      </c>
      <c r="C15" s="173">
        <f>+'Formula Weights'!G69</f>
        <v>6003.5588118134719</v>
      </c>
      <c r="D15" s="174">
        <f>+'Formula Weights'!G18</f>
        <v>2.9333019970744316</v>
      </c>
      <c r="E15" s="175">
        <f>+'Formula Weights'!G72</f>
        <v>194959568.85483068</v>
      </c>
      <c r="F15" s="95">
        <v>127704479</v>
      </c>
      <c r="G15" s="101"/>
      <c r="H15" s="95"/>
      <c r="I15" s="106"/>
    </row>
    <row r="16" spans="1:9" x14ac:dyDescent="0.25">
      <c r="A16" s="176" t="s">
        <v>102</v>
      </c>
      <c r="B16" s="176" t="s">
        <v>189</v>
      </c>
      <c r="C16" s="173">
        <f>+'Formula Weights'!H69</f>
        <v>7400.1274800000001</v>
      </c>
      <c r="D16" s="174">
        <f>+'Formula Weights'!H18</f>
        <v>3.6156568788792276</v>
      </c>
      <c r="E16" s="175">
        <f>+'Formula Weights'!H72</f>
        <v>191663301.73199999</v>
      </c>
      <c r="F16" s="95"/>
      <c r="G16" s="101"/>
      <c r="H16" s="95"/>
    </row>
    <row r="17" spans="1:8" x14ac:dyDescent="0.25">
      <c r="A17" s="176" t="s">
        <v>104</v>
      </c>
      <c r="B17" s="176" t="s">
        <v>190</v>
      </c>
      <c r="C17" s="173">
        <f>+'Formula Weights'!J69</f>
        <v>214.29207142857143</v>
      </c>
      <c r="D17" s="174">
        <f>+'Formula Weights'!J18</f>
        <v>0.10470179118454769</v>
      </c>
      <c r="E17" s="175">
        <f>+'Formula Weights'!J72</f>
        <v>27401098.58942857</v>
      </c>
      <c r="F17" s="95">
        <f t="shared" ref="F17:G17" si="0">SUM(F9:F16)</f>
        <v>9223932450.0354805</v>
      </c>
      <c r="G17" s="95">
        <f t="shared" si="0"/>
        <v>169626831.68224448</v>
      </c>
      <c r="H17" s="95"/>
    </row>
    <row r="18" spans="1:8" x14ac:dyDescent="0.25">
      <c r="A18" s="176" t="s">
        <v>105</v>
      </c>
      <c r="B18" s="176" t="s">
        <v>179</v>
      </c>
      <c r="C18" s="173">
        <f>+'Formula Weights'!M69</f>
        <v>511.67241029062149</v>
      </c>
      <c r="D18" s="174">
        <v>0.25</v>
      </c>
      <c r="E18" s="175">
        <f>+'Formula Weights'!M72</f>
        <v>270790343.00846446</v>
      </c>
      <c r="F18" s="95"/>
      <c r="G18" s="95"/>
      <c r="H18" s="95"/>
    </row>
    <row r="19" spans="1:8" x14ac:dyDescent="0.25">
      <c r="A19" s="176" t="s">
        <v>14</v>
      </c>
      <c r="B19" s="176" t="s">
        <v>191</v>
      </c>
      <c r="C19" s="173">
        <f>+'Formula Weights'!I69</f>
        <v>216.45471210325894</v>
      </c>
      <c r="D19" s="174">
        <f>+'Formula Weights'!I18</f>
        <v>0.10575844414804203</v>
      </c>
      <c r="E19" s="175">
        <f>+'Formula Weights'!I72</f>
        <v>38502531.279503495</v>
      </c>
      <c r="F19" s="95"/>
      <c r="G19" s="95"/>
      <c r="H19" s="95"/>
    </row>
    <row r="20" spans="1:8" x14ac:dyDescent="0.25">
      <c r="A20" s="176"/>
      <c r="B20" s="176"/>
      <c r="C20" s="172"/>
      <c r="D20" s="172"/>
      <c r="E20" s="175"/>
      <c r="F20" s="95"/>
      <c r="G20" s="95"/>
      <c r="H20" s="95"/>
    </row>
    <row r="21" spans="1:8" x14ac:dyDescent="0.25">
      <c r="A21" s="176" t="s">
        <v>107</v>
      </c>
      <c r="B21" s="176"/>
      <c r="C21" s="172"/>
      <c r="D21" s="172"/>
      <c r="E21" s="177">
        <f>SUM(E7:E20)</f>
        <v>5101939386.6376944</v>
      </c>
      <c r="F21" s="95"/>
      <c r="G21" s="95"/>
    </row>
    <row r="22" spans="1:8" x14ac:dyDescent="0.25">
      <c r="A22" s="176" t="s">
        <v>108</v>
      </c>
      <c r="B22" s="176"/>
      <c r="C22" s="172"/>
      <c r="D22" s="172"/>
      <c r="E22" s="178">
        <f>+'Current QBE Funding'!C9-E21</f>
        <v>-2204087.7986545563</v>
      </c>
    </row>
    <row r="23" spans="1:8" x14ac:dyDescent="0.25">
      <c r="A23" s="105"/>
      <c r="B23" s="105"/>
      <c r="E23" s="104"/>
      <c r="F23" s="95"/>
      <c r="G23" s="95"/>
    </row>
    <row r="24" spans="1:8" x14ac:dyDescent="0.25">
      <c r="A24" s="105"/>
      <c r="B24" s="105"/>
      <c r="E24" s="106"/>
    </row>
    <row r="25" spans="1:8" x14ac:dyDescent="0.25">
      <c r="A25" s="105"/>
      <c r="B25" s="105"/>
      <c r="E25" s="106"/>
      <c r="F25" s="95"/>
      <c r="G25" s="95"/>
    </row>
    <row r="29" spans="1:8" x14ac:dyDescent="0.25">
      <c r="A29" s="99"/>
      <c r="B29" s="99"/>
      <c r="E29" s="95"/>
    </row>
    <row r="30" spans="1:8" x14ac:dyDescent="0.25">
      <c r="A30" s="99"/>
      <c r="B30" s="99"/>
      <c r="E30" s="107"/>
    </row>
    <row r="31" spans="1:8" x14ac:dyDescent="0.25">
      <c r="E31" s="108"/>
    </row>
    <row r="34" spans="1:2" ht="15.75" x14ac:dyDescent="0.25">
      <c r="A34" s="109"/>
      <c r="B34" s="109"/>
    </row>
    <row r="35" spans="1:2" ht="15.75" x14ac:dyDescent="0.25">
      <c r="A35" s="109"/>
      <c r="B35" s="109"/>
    </row>
  </sheetData>
  <mergeCells count="1">
    <mergeCell ref="A1:E1"/>
  </mergeCells>
  <pageMargins left="0.7" right="0.7" top="0.75" bottom="0.75" header="0.3" footer="0.3"/>
  <pageSetup orientation="landscape" horizontalDpi="0" verticalDpi="0" r:id="rId1"/>
  <headerFooter>
    <oddFooter>&amp;LJuly 16, 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58"/>
  <sheetViews>
    <sheetView workbookViewId="0">
      <pane xSplit="1" ySplit="3" topLeftCell="B52" activePane="bottomRight" state="frozen"/>
      <selection activeCell="J71" sqref="J71"/>
      <selection pane="topRight" activeCell="J71" sqref="J71"/>
      <selection pane="bottomLeft" activeCell="J71" sqref="J71"/>
      <selection pane="bottomRight" activeCell="J71" sqref="J71"/>
    </sheetView>
  </sheetViews>
  <sheetFormatPr defaultColWidth="8.42578125" defaultRowHeight="10.5" x14ac:dyDescent="0.15"/>
  <cols>
    <col min="1" max="1" width="31.42578125" style="14" customWidth="1"/>
    <col min="2" max="2" width="14.28515625" style="14" bestFit="1" customWidth="1"/>
    <col min="3" max="3" width="13.7109375" style="14" bestFit="1" customWidth="1"/>
    <col min="4" max="10" width="12.7109375" style="14" customWidth="1"/>
    <col min="11" max="11" width="12.7109375" style="14" hidden="1" customWidth="1"/>
    <col min="12" max="12" width="13.7109375" style="14" hidden="1" customWidth="1"/>
    <col min="13" max="13" width="12.7109375" style="14" customWidth="1"/>
    <col min="14" max="14" width="11.28515625" style="14" bestFit="1" customWidth="1"/>
    <col min="15" max="248" width="8.42578125" style="14"/>
    <col min="249" max="249" width="31.42578125" style="14" customWidth="1"/>
    <col min="250" max="252" width="12.7109375" style="14" customWidth="1"/>
    <col min="253" max="253" width="13.7109375" style="14" bestFit="1" customWidth="1"/>
    <col min="254" max="267" width="12.7109375" style="14" customWidth="1"/>
    <col min="268" max="268" width="13.7109375" style="14" customWidth="1"/>
    <col min="269" max="270" width="11.28515625" style="14" bestFit="1" customWidth="1"/>
    <col min="271" max="504" width="8.42578125" style="14"/>
    <col min="505" max="505" width="31.42578125" style="14" customWidth="1"/>
    <col min="506" max="508" width="12.7109375" style="14" customWidth="1"/>
    <col min="509" max="509" width="13.7109375" style="14" bestFit="1" customWidth="1"/>
    <col min="510" max="523" width="12.7109375" style="14" customWidth="1"/>
    <col min="524" max="524" width="13.7109375" style="14" customWidth="1"/>
    <col min="525" max="526" width="11.28515625" style="14" bestFit="1" customWidth="1"/>
    <col min="527" max="760" width="8.42578125" style="14"/>
    <col min="761" max="761" width="31.42578125" style="14" customWidth="1"/>
    <col min="762" max="764" width="12.7109375" style="14" customWidth="1"/>
    <col min="765" max="765" width="13.7109375" style="14" bestFit="1" customWidth="1"/>
    <col min="766" max="779" width="12.7109375" style="14" customWidth="1"/>
    <col min="780" max="780" width="13.7109375" style="14" customWidth="1"/>
    <col min="781" max="782" width="11.28515625" style="14" bestFit="1" customWidth="1"/>
    <col min="783" max="1016" width="8.42578125" style="14"/>
    <col min="1017" max="1017" width="31.42578125" style="14" customWidth="1"/>
    <col min="1018" max="1020" width="12.7109375" style="14" customWidth="1"/>
    <col min="1021" max="1021" width="13.7109375" style="14" bestFit="1" customWidth="1"/>
    <col min="1022" max="1035" width="12.7109375" style="14" customWidth="1"/>
    <col min="1036" max="1036" width="13.7109375" style="14" customWidth="1"/>
    <col min="1037" max="1038" width="11.28515625" style="14" bestFit="1" customWidth="1"/>
    <col min="1039" max="1272" width="8.42578125" style="14"/>
    <col min="1273" max="1273" width="31.42578125" style="14" customWidth="1"/>
    <col min="1274" max="1276" width="12.7109375" style="14" customWidth="1"/>
    <col min="1277" max="1277" width="13.7109375" style="14" bestFit="1" customWidth="1"/>
    <col min="1278" max="1291" width="12.7109375" style="14" customWidth="1"/>
    <col min="1292" max="1292" width="13.7109375" style="14" customWidth="1"/>
    <col min="1293" max="1294" width="11.28515625" style="14" bestFit="1" customWidth="1"/>
    <col min="1295" max="1528" width="8.42578125" style="14"/>
    <col min="1529" max="1529" width="31.42578125" style="14" customWidth="1"/>
    <col min="1530" max="1532" width="12.7109375" style="14" customWidth="1"/>
    <col min="1533" max="1533" width="13.7109375" style="14" bestFit="1" customWidth="1"/>
    <col min="1534" max="1547" width="12.7109375" style="14" customWidth="1"/>
    <col min="1548" max="1548" width="13.7109375" style="14" customWidth="1"/>
    <col min="1549" max="1550" width="11.28515625" style="14" bestFit="1" customWidth="1"/>
    <col min="1551" max="1784" width="8.42578125" style="14"/>
    <col min="1785" max="1785" width="31.42578125" style="14" customWidth="1"/>
    <col min="1786" max="1788" width="12.7109375" style="14" customWidth="1"/>
    <col min="1789" max="1789" width="13.7109375" style="14" bestFit="1" customWidth="1"/>
    <col min="1790" max="1803" width="12.7109375" style="14" customWidth="1"/>
    <col min="1804" max="1804" width="13.7109375" style="14" customWidth="1"/>
    <col min="1805" max="1806" width="11.28515625" style="14" bestFit="1" customWidth="1"/>
    <col min="1807" max="2040" width="8.42578125" style="14"/>
    <col min="2041" max="2041" width="31.42578125" style="14" customWidth="1"/>
    <col min="2042" max="2044" width="12.7109375" style="14" customWidth="1"/>
    <col min="2045" max="2045" width="13.7109375" style="14" bestFit="1" customWidth="1"/>
    <col min="2046" max="2059" width="12.7109375" style="14" customWidth="1"/>
    <col min="2060" max="2060" width="13.7109375" style="14" customWidth="1"/>
    <col min="2061" max="2062" width="11.28515625" style="14" bestFit="1" customWidth="1"/>
    <col min="2063" max="2296" width="8.42578125" style="14"/>
    <col min="2297" max="2297" width="31.42578125" style="14" customWidth="1"/>
    <col min="2298" max="2300" width="12.7109375" style="14" customWidth="1"/>
    <col min="2301" max="2301" width="13.7109375" style="14" bestFit="1" customWidth="1"/>
    <col min="2302" max="2315" width="12.7109375" style="14" customWidth="1"/>
    <col min="2316" max="2316" width="13.7109375" style="14" customWidth="1"/>
    <col min="2317" max="2318" width="11.28515625" style="14" bestFit="1" customWidth="1"/>
    <col min="2319" max="2552" width="8.42578125" style="14"/>
    <col min="2553" max="2553" width="31.42578125" style="14" customWidth="1"/>
    <col min="2554" max="2556" width="12.7109375" style="14" customWidth="1"/>
    <col min="2557" max="2557" width="13.7109375" style="14" bestFit="1" customWidth="1"/>
    <col min="2558" max="2571" width="12.7109375" style="14" customWidth="1"/>
    <col min="2572" max="2572" width="13.7109375" style="14" customWidth="1"/>
    <col min="2573" max="2574" width="11.28515625" style="14" bestFit="1" customWidth="1"/>
    <col min="2575" max="2808" width="8.42578125" style="14"/>
    <col min="2809" max="2809" width="31.42578125" style="14" customWidth="1"/>
    <col min="2810" max="2812" width="12.7109375" style="14" customWidth="1"/>
    <col min="2813" max="2813" width="13.7109375" style="14" bestFit="1" customWidth="1"/>
    <col min="2814" max="2827" width="12.7109375" style="14" customWidth="1"/>
    <col min="2828" max="2828" width="13.7109375" style="14" customWidth="1"/>
    <col min="2829" max="2830" width="11.28515625" style="14" bestFit="1" customWidth="1"/>
    <col min="2831" max="3064" width="8.42578125" style="14"/>
    <col min="3065" max="3065" width="31.42578125" style="14" customWidth="1"/>
    <col min="3066" max="3068" width="12.7109375" style="14" customWidth="1"/>
    <col min="3069" max="3069" width="13.7109375" style="14" bestFit="1" customWidth="1"/>
    <col min="3070" max="3083" width="12.7109375" style="14" customWidth="1"/>
    <col min="3084" max="3084" width="13.7109375" style="14" customWidth="1"/>
    <col min="3085" max="3086" width="11.28515625" style="14" bestFit="1" customWidth="1"/>
    <col min="3087" max="3320" width="8.42578125" style="14"/>
    <col min="3321" max="3321" width="31.42578125" style="14" customWidth="1"/>
    <col min="3322" max="3324" width="12.7109375" style="14" customWidth="1"/>
    <col min="3325" max="3325" width="13.7109375" style="14" bestFit="1" customWidth="1"/>
    <col min="3326" max="3339" width="12.7109375" style="14" customWidth="1"/>
    <col min="3340" max="3340" width="13.7109375" style="14" customWidth="1"/>
    <col min="3341" max="3342" width="11.28515625" style="14" bestFit="1" customWidth="1"/>
    <col min="3343" max="3576" width="8.42578125" style="14"/>
    <col min="3577" max="3577" width="31.42578125" style="14" customWidth="1"/>
    <col min="3578" max="3580" width="12.7109375" style="14" customWidth="1"/>
    <col min="3581" max="3581" width="13.7109375" style="14" bestFit="1" customWidth="1"/>
    <col min="3582" max="3595" width="12.7109375" style="14" customWidth="1"/>
    <col min="3596" max="3596" width="13.7109375" style="14" customWidth="1"/>
    <col min="3597" max="3598" width="11.28515625" style="14" bestFit="1" customWidth="1"/>
    <col min="3599" max="3832" width="8.42578125" style="14"/>
    <col min="3833" max="3833" width="31.42578125" style="14" customWidth="1"/>
    <col min="3834" max="3836" width="12.7109375" style="14" customWidth="1"/>
    <col min="3837" max="3837" width="13.7109375" style="14" bestFit="1" customWidth="1"/>
    <col min="3838" max="3851" width="12.7109375" style="14" customWidth="1"/>
    <col min="3852" max="3852" width="13.7109375" style="14" customWidth="1"/>
    <col min="3853" max="3854" width="11.28515625" style="14" bestFit="1" customWidth="1"/>
    <col min="3855" max="4088" width="8.42578125" style="14"/>
    <col min="4089" max="4089" width="31.42578125" style="14" customWidth="1"/>
    <col min="4090" max="4092" width="12.7109375" style="14" customWidth="1"/>
    <col min="4093" max="4093" width="13.7109375" style="14" bestFit="1" customWidth="1"/>
    <col min="4094" max="4107" width="12.7109375" style="14" customWidth="1"/>
    <col min="4108" max="4108" width="13.7109375" style="14" customWidth="1"/>
    <col min="4109" max="4110" width="11.28515625" style="14" bestFit="1" customWidth="1"/>
    <col min="4111" max="4344" width="8.42578125" style="14"/>
    <col min="4345" max="4345" width="31.42578125" style="14" customWidth="1"/>
    <col min="4346" max="4348" width="12.7109375" style="14" customWidth="1"/>
    <col min="4349" max="4349" width="13.7109375" style="14" bestFit="1" customWidth="1"/>
    <col min="4350" max="4363" width="12.7109375" style="14" customWidth="1"/>
    <col min="4364" max="4364" width="13.7109375" style="14" customWidth="1"/>
    <col min="4365" max="4366" width="11.28515625" style="14" bestFit="1" customWidth="1"/>
    <col min="4367" max="4600" width="8.42578125" style="14"/>
    <col min="4601" max="4601" width="31.42578125" style="14" customWidth="1"/>
    <col min="4602" max="4604" width="12.7109375" style="14" customWidth="1"/>
    <col min="4605" max="4605" width="13.7109375" style="14" bestFit="1" customWidth="1"/>
    <col min="4606" max="4619" width="12.7109375" style="14" customWidth="1"/>
    <col min="4620" max="4620" width="13.7109375" style="14" customWidth="1"/>
    <col min="4621" max="4622" width="11.28515625" style="14" bestFit="1" customWidth="1"/>
    <col min="4623" max="4856" width="8.42578125" style="14"/>
    <col min="4857" max="4857" width="31.42578125" style="14" customWidth="1"/>
    <col min="4858" max="4860" width="12.7109375" style="14" customWidth="1"/>
    <col min="4861" max="4861" width="13.7109375" style="14" bestFit="1" customWidth="1"/>
    <col min="4862" max="4875" width="12.7109375" style="14" customWidth="1"/>
    <col min="4876" max="4876" width="13.7109375" style="14" customWidth="1"/>
    <col min="4877" max="4878" width="11.28515625" style="14" bestFit="1" customWidth="1"/>
    <col min="4879" max="5112" width="8.42578125" style="14"/>
    <col min="5113" max="5113" width="31.42578125" style="14" customWidth="1"/>
    <col min="5114" max="5116" width="12.7109375" style="14" customWidth="1"/>
    <col min="5117" max="5117" width="13.7109375" style="14" bestFit="1" customWidth="1"/>
    <col min="5118" max="5131" width="12.7109375" style="14" customWidth="1"/>
    <col min="5132" max="5132" width="13.7109375" style="14" customWidth="1"/>
    <col min="5133" max="5134" width="11.28515625" style="14" bestFit="1" customWidth="1"/>
    <col min="5135" max="5368" width="8.42578125" style="14"/>
    <col min="5369" max="5369" width="31.42578125" style="14" customWidth="1"/>
    <col min="5370" max="5372" width="12.7109375" style="14" customWidth="1"/>
    <col min="5373" max="5373" width="13.7109375" style="14" bestFit="1" customWidth="1"/>
    <col min="5374" max="5387" width="12.7109375" style="14" customWidth="1"/>
    <col min="5388" max="5388" width="13.7109375" style="14" customWidth="1"/>
    <col min="5389" max="5390" width="11.28515625" style="14" bestFit="1" customWidth="1"/>
    <col min="5391" max="5624" width="8.42578125" style="14"/>
    <col min="5625" max="5625" width="31.42578125" style="14" customWidth="1"/>
    <col min="5626" max="5628" width="12.7109375" style="14" customWidth="1"/>
    <col min="5629" max="5629" width="13.7109375" style="14" bestFit="1" customWidth="1"/>
    <col min="5630" max="5643" width="12.7109375" style="14" customWidth="1"/>
    <col min="5644" max="5644" width="13.7109375" style="14" customWidth="1"/>
    <col min="5645" max="5646" width="11.28515625" style="14" bestFit="1" customWidth="1"/>
    <col min="5647" max="5880" width="8.42578125" style="14"/>
    <col min="5881" max="5881" width="31.42578125" style="14" customWidth="1"/>
    <col min="5882" max="5884" width="12.7109375" style="14" customWidth="1"/>
    <col min="5885" max="5885" width="13.7109375" style="14" bestFit="1" customWidth="1"/>
    <col min="5886" max="5899" width="12.7109375" style="14" customWidth="1"/>
    <col min="5900" max="5900" width="13.7109375" style="14" customWidth="1"/>
    <col min="5901" max="5902" width="11.28515625" style="14" bestFit="1" customWidth="1"/>
    <col min="5903" max="6136" width="8.42578125" style="14"/>
    <col min="6137" max="6137" width="31.42578125" style="14" customWidth="1"/>
    <col min="6138" max="6140" width="12.7109375" style="14" customWidth="1"/>
    <col min="6141" max="6141" width="13.7109375" style="14" bestFit="1" customWidth="1"/>
    <col min="6142" max="6155" width="12.7109375" style="14" customWidth="1"/>
    <col min="6156" max="6156" width="13.7109375" style="14" customWidth="1"/>
    <col min="6157" max="6158" width="11.28515625" style="14" bestFit="1" customWidth="1"/>
    <col min="6159" max="6392" width="8.42578125" style="14"/>
    <col min="6393" max="6393" width="31.42578125" style="14" customWidth="1"/>
    <col min="6394" max="6396" width="12.7109375" style="14" customWidth="1"/>
    <col min="6397" max="6397" width="13.7109375" style="14" bestFit="1" customWidth="1"/>
    <col min="6398" max="6411" width="12.7109375" style="14" customWidth="1"/>
    <col min="6412" max="6412" width="13.7109375" style="14" customWidth="1"/>
    <col min="6413" max="6414" width="11.28515625" style="14" bestFit="1" customWidth="1"/>
    <col min="6415" max="6648" width="8.42578125" style="14"/>
    <col min="6649" max="6649" width="31.42578125" style="14" customWidth="1"/>
    <col min="6650" max="6652" width="12.7109375" style="14" customWidth="1"/>
    <col min="6653" max="6653" width="13.7109375" style="14" bestFit="1" customWidth="1"/>
    <col min="6654" max="6667" width="12.7109375" style="14" customWidth="1"/>
    <col min="6668" max="6668" width="13.7109375" style="14" customWidth="1"/>
    <col min="6669" max="6670" width="11.28515625" style="14" bestFit="1" customWidth="1"/>
    <col min="6671" max="6904" width="8.42578125" style="14"/>
    <col min="6905" max="6905" width="31.42578125" style="14" customWidth="1"/>
    <col min="6906" max="6908" width="12.7109375" style="14" customWidth="1"/>
    <col min="6909" max="6909" width="13.7109375" style="14" bestFit="1" customWidth="1"/>
    <col min="6910" max="6923" width="12.7109375" style="14" customWidth="1"/>
    <col min="6924" max="6924" width="13.7109375" style="14" customWidth="1"/>
    <col min="6925" max="6926" width="11.28515625" style="14" bestFit="1" customWidth="1"/>
    <col min="6927" max="7160" width="8.42578125" style="14"/>
    <col min="7161" max="7161" width="31.42578125" style="14" customWidth="1"/>
    <col min="7162" max="7164" width="12.7109375" style="14" customWidth="1"/>
    <col min="7165" max="7165" width="13.7109375" style="14" bestFit="1" customWidth="1"/>
    <col min="7166" max="7179" width="12.7109375" style="14" customWidth="1"/>
    <col min="7180" max="7180" width="13.7109375" style="14" customWidth="1"/>
    <col min="7181" max="7182" width="11.28515625" style="14" bestFit="1" customWidth="1"/>
    <col min="7183" max="7416" width="8.42578125" style="14"/>
    <col min="7417" max="7417" width="31.42578125" style="14" customWidth="1"/>
    <col min="7418" max="7420" width="12.7109375" style="14" customWidth="1"/>
    <col min="7421" max="7421" width="13.7109375" style="14" bestFit="1" customWidth="1"/>
    <col min="7422" max="7435" width="12.7109375" style="14" customWidth="1"/>
    <col min="7436" max="7436" width="13.7109375" style="14" customWidth="1"/>
    <col min="7437" max="7438" width="11.28515625" style="14" bestFit="1" customWidth="1"/>
    <col min="7439" max="7672" width="8.42578125" style="14"/>
    <col min="7673" max="7673" width="31.42578125" style="14" customWidth="1"/>
    <col min="7674" max="7676" width="12.7109375" style="14" customWidth="1"/>
    <col min="7677" max="7677" width="13.7109375" style="14" bestFit="1" customWidth="1"/>
    <col min="7678" max="7691" width="12.7109375" style="14" customWidth="1"/>
    <col min="7692" max="7692" width="13.7109375" style="14" customWidth="1"/>
    <col min="7693" max="7694" width="11.28515625" style="14" bestFit="1" customWidth="1"/>
    <col min="7695" max="7928" width="8.42578125" style="14"/>
    <col min="7929" max="7929" width="31.42578125" style="14" customWidth="1"/>
    <col min="7930" max="7932" width="12.7109375" style="14" customWidth="1"/>
    <col min="7933" max="7933" width="13.7109375" style="14" bestFit="1" customWidth="1"/>
    <col min="7934" max="7947" width="12.7109375" style="14" customWidth="1"/>
    <col min="7948" max="7948" width="13.7109375" style="14" customWidth="1"/>
    <col min="7949" max="7950" width="11.28515625" style="14" bestFit="1" customWidth="1"/>
    <col min="7951" max="8184" width="8.42578125" style="14"/>
    <col min="8185" max="8185" width="31.42578125" style="14" customWidth="1"/>
    <col min="8186" max="8188" width="12.7109375" style="14" customWidth="1"/>
    <col min="8189" max="8189" width="13.7109375" style="14" bestFit="1" customWidth="1"/>
    <col min="8190" max="8203" width="12.7109375" style="14" customWidth="1"/>
    <col min="8204" max="8204" width="13.7109375" style="14" customWidth="1"/>
    <col min="8205" max="8206" width="11.28515625" style="14" bestFit="1" customWidth="1"/>
    <col min="8207" max="8440" width="8.42578125" style="14"/>
    <col min="8441" max="8441" width="31.42578125" style="14" customWidth="1"/>
    <col min="8442" max="8444" width="12.7109375" style="14" customWidth="1"/>
    <col min="8445" max="8445" width="13.7109375" style="14" bestFit="1" customWidth="1"/>
    <col min="8446" max="8459" width="12.7109375" style="14" customWidth="1"/>
    <col min="8460" max="8460" width="13.7109375" style="14" customWidth="1"/>
    <col min="8461" max="8462" width="11.28515625" style="14" bestFit="1" customWidth="1"/>
    <col min="8463" max="8696" width="8.42578125" style="14"/>
    <col min="8697" max="8697" width="31.42578125" style="14" customWidth="1"/>
    <col min="8698" max="8700" width="12.7109375" style="14" customWidth="1"/>
    <col min="8701" max="8701" width="13.7109375" style="14" bestFit="1" customWidth="1"/>
    <col min="8702" max="8715" width="12.7109375" style="14" customWidth="1"/>
    <col min="8716" max="8716" width="13.7109375" style="14" customWidth="1"/>
    <col min="8717" max="8718" width="11.28515625" style="14" bestFit="1" customWidth="1"/>
    <col min="8719" max="8952" width="8.42578125" style="14"/>
    <col min="8953" max="8953" width="31.42578125" style="14" customWidth="1"/>
    <col min="8954" max="8956" width="12.7109375" style="14" customWidth="1"/>
    <col min="8957" max="8957" width="13.7109375" style="14" bestFit="1" customWidth="1"/>
    <col min="8958" max="8971" width="12.7109375" style="14" customWidth="1"/>
    <col min="8972" max="8972" width="13.7109375" style="14" customWidth="1"/>
    <col min="8973" max="8974" width="11.28515625" style="14" bestFit="1" customWidth="1"/>
    <col min="8975" max="9208" width="8.42578125" style="14"/>
    <col min="9209" max="9209" width="31.42578125" style="14" customWidth="1"/>
    <col min="9210" max="9212" width="12.7109375" style="14" customWidth="1"/>
    <col min="9213" max="9213" width="13.7109375" style="14" bestFit="1" customWidth="1"/>
    <col min="9214" max="9227" width="12.7109375" style="14" customWidth="1"/>
    <col min="9228" max="9228" width="13.7109375" style="14" customWidth="1"/>
    <col min="9229" max="9230" width="11.28515625" style="14" bestFit="1" customWidth="1"/>
    <col min="9231" max="9464" width="8.42578125" style="14"/>
    <col min="9465" max="9465" width="31.42578125" style="14" customWidth="1"/>
    <col min="9466" max="9468" width="12.7109375" style="14" customWidth="1"/>
    <col min="9469" max="9469" width="13.7109375" style="14" bestFit="1" customWidth="1"/>
    <col min="9470" max="9483" width="12.7109375" style="14" customWidth="1"/>
    <col min="9484" max="9484" width="13.7109375" style="14" customWidth="1"/>
    <col min="9485" max="9486" width="11.28515625" style="14" bestFit="1" customWidth="1"/>
    <col min="9487" max="9720" width="8.42578125" style="14"/>
    <col min="9721" max="9721" width="31.42578125" style="14" customWidth="1"/>
    <col min="9722" max="9724" width="12.7109375" style="14" customWidth="1"/>
    <col min="9725" max="9725" width="13.7109375" style="14" bestFit="1" customWidth="1"/>
    <col min="9726" max="9739" width="12.7109375" style="14" customWidth="1"/>
    <col min="9740" max="9740" width="13.7109375" style="14" customWidth="1"/>
    <col min="9741" max="9742" width="11.28515625" style="14" bestFit="1" customWidth="1"/>
    <col min="9743" max="9976" width="8.42578125" style="14"/>
    <col min="9977" max="9977" width="31.42578125" style="14" customWidth="1"/>
    <col min="9978" max="9980" width="12.7109375" style="14" customWidth="1"/>
    <col min="9981" max="9981" width="13.7109375" style="14" bestFit="1" customWidth="1"/>
    <col min="9982" max="9995" width="12.7109375" style="14" customWidth="1"/>
    <col min="9996" max="9996" width="13.7109375" style="14" customWidth="1"/>
    <col min="9997" max="9998" width="11.28515625" style="14" bestFit="1" customWidth="1"/>
    <col min="9999" max="10232" width="8.42578125" style="14"/>
    <col min="10233" max="10233" width="31.42578125" style="14" customWidth="1"/>
    <col min="10234" max="10236" width="12.7109375" style="14" customWidth="1"/>
    <col min="10237" max="10237" width="13.7109375" style="14" bestFit="1" customWidth="1"/>
    <col min="10238" max="10251" width="12.7109375" style="14" customWidth="1"/>
    <col min="10252" max="10252" width="13.7109375" style="14" customWidth="1"/>
    <col min="10253" max="10254" width="11.28515625" style="14" bestFit="1" customWidth="1"/>
    <col min="10255" max="10488" width="8.42578125" style="14"/>
    <col min="10489" max="10489" width="31.42578125" style="14" customWidth="1"/>
    <col min="10490" max="10492" width="12.7109375" style="14" customWidth="1"/>
    <col min="10493" max="10493" width="13.7109375" style="14" bestFit="1" customWidth="1"/>
    <col min="10494" max="10507" width="12.7109375" style="14" customWidth="1"/>
    <col min="10508" max="10508" width="13.7109375" style="14" customWidth="1"/>
    <col min="10509" max="10510" width="11.28515625" style="14" bestFit="1" customWidth="1"/>
    <col min="10511" max="10744" width="8.42578125" style="14"/>
    <col min="10745" max="10745" width="31.42578125" style="14" customWidth="1"/>
    <col min="10746" max="10748" width="12.7109375" style="14" customWidth="1"/>
    <col min="10749" max="10749" width="13.7109375" style="14" bestFit="1" customWidth="1"/>
    <col min="10750" max="10763" width="12.7109375" style="14" customWidth="1"/>
    <col min="10764" max="10764" width="13.7109375" style="14" customWidth="1"/>
    <col min="10765" max="10766" width="11.28515625" style="14" bestFit="1" customWidth="1"/>
    <col min="10767" max="11000" width="8.42578125" style="14"/>
    <col min="11001" max="11001" width="31.42578125" style="14" customWidth="1"/>
    <col min="11002" max="11004" width="12.7109375" style="14" customWidth="1"/>
    <col min="11005" max="11005" width="13.7109375" style="14" bestFit="1" customWidth="1"/>
    <col min="11006" max="11019" width="12.7109375" style="14" customWidth="1"/>
    <col min="11020" max="11020" width="13.7109375" style="14" customWidth="1"/>
    <col min="11021" max="11022" width="11.28515625" style="14" bestFit="1" customWidth="1"/>
    <col min="11023" max="11256" width="8.42578125" style="14"/>
    <col min="11257" max="11257" width="31.42578125" style="14" customWidth="1"/>
    <col min="11258" max="11260" width="12.7109375" style="14" customWidth="1"/>
    <col min="11261" max="11261" width="13.7109375" style="14" bestFit="1" customWidth="1"/>
    <col min="11262" max="11275" width="12.7109375" style="14" customWidth="1"/>
    <col min="11276" max="11276" width="13.7109375" style="14" customWidth="1"/>
    <col min="11277" max="11278" width="11.28515625" style="14" bestFit="1" customWidth="1"/>
    <col min="11279" max="11512" width="8.42578125" style="14"/>
    <col min="11513" max="11513" width="31.42578125" style="14" customWidth="1"/>
    <col min="11514" max="11516" width="12.7109375" style="14" customWidth="1"/>
    <col min="11517" max="11517" width="13.7109375" style="14" bestFit="1" customWidth="1"/>
    <col min="11518" max="11531" width="12.7109375" style="14" customWidth="1"/>
    <col min="11532" max="11532" width="13.7109375" style="14" customWidth="1"/>
    <col min="11533" max="11534" width="11.28515625" style="14" bestFit="1" customWidth="1"/>
    <col min="11535" max="11768" width="8.42578125" style="14"/>
    <col min="11769" max="11769" width="31.42578125" style="14" customWidth="1"/>
    <col min="11770" max="11772" width="12.7109375" style="14" customWidth="1"/>
    <col min="11773" max="11773" width="13.7109375" style="14" bestFit="1" customWidth="1"/>
    <col min="11774" max="11787" width="12.7109375" style="14" customWidth="1"/>
    <col min="11788" max="11788" width="13.7109375" style="14" customWidth="1"/>
    <col min="11789" max="11790" width="11.28515625" style="14" bestFit="1" customWidth="1"/>
    <col min="11791" max="12024" width="8.42578125" style="14"/>
    <col min="12025" max="12025" width="31.42578125" style="14" customWidth="1"/>
    <col min="12026" max="12028" width="12.7109375" style="14" customWidth="1"/>
    <col min="12029" max="12029" width="13.7109375" style="14" bestFit="1" customWidth="1"/>
    <col min="12030" max="12043" width="12.7109375" style="14" customWidth="1"/>
    <col min="12044" max="12044" width="13.7109375" style="14" customWidth="1"/>
    <col min="12045" max="12046" width="11.28515625" style="14" bestFit="1" customWidth="1"/>
    <col min="12047" max="12280" width="8.42578125" style="14"/>
    <col min="12281" max="12281" width="31.42578125" style="14" customWidth="1"/>
    <col min="12282" max="12284" width="12.7109375" style="14" customWidth="1"/>
    <col min="12285" max="12285" width="13.7109375" style="14" bestFit="1" customWidth="1"/>
    <col min="12286" max="12299" width="12.7109375" style="14" customWidth="1"/>
    <col min="12300" max="12300" width="13.7109375" style="14" customWidth="1"/>
    <col min="12301" max="12302" width="11.28515625" style="14" bestFit="1" customWidth="1"/>
    <col min="12303" max="12536" width="8.42578125" style="14"/>
    <col min="12537" max="12537" width="31.42578125" style="14" customWidth="1"/>
    <col min="12538" max="12540" width="12.7109375" style="14" customWidth="1"/>
    <col min="12541" max="12541" width="13.7109375" style="14" bestFit="1" customWidth="1"/>
    <col min="12542" max="12555" width="12.7109375" style="14" customWidth="1"/>
    <col min="12556" max="12556" width="13.7109375" style="14" customWidth="1"/>
    <col min="12557" max="12558" width="11.28515625" style="14" bestFit="1" customWidth="1"/>
    <col min="12559" max="12792" width="8.42578125" style="14"/>
    <col min="12793" max="12793" width="31.42578125" style="14" customWidth="1"/>
    <col min="12794" max="12796" width="12.7109375" style="14" customWidth="1"/>
    <col min="12797" max="12797" width="13.7109375" style="14" bestFit="1" customWidth="1"/>
    <col min="12798" max="12811" width="12.7109375" style="14" customWidth="1"/>
    <col min="12812" max="12812" width="13.7109375" style="14" customWidth="1"/>
    <col min="12813" max="12814" width="11.28515625" style="14" bestFit="1" customWidth="1"/>
    <col min="12815" max="13048" width="8.42578125" style="14"/>
    <col min="13049" max="13049" width="31.42578125" style="14" customWidth="1"/>
    <col min="13050" max="13052" width="12.7109375" style="14" customWidth="1"/>
    <col min="13053" max="13053" width="13.7109375" style="14" bestFit="1" customWidth="1"/>
    <col min="13054" max="13067" width="12.7109375" style="14" customWidth="1"/>
    <col min="13068" max="13068" width="13.7109375" style="14" customWidth="1"/>
    <col min="13069" max="13070" width="11.28515625" style="14" bestFit="1" customWidth="1"/>
    <col min="13071" max="13304" width="8.42578125" style="14"/>
    <col min="13305" max="13305" width="31.42578125" style="14" customWidth="1"/>
    <col min="13306" max="13308" width="12.7109375" style="14" customWidth="1"/>
    <col min="13309" max="13309" width="13.7109375" style="14" bestFit="1" customWidth="1"/>
    <col min="13310" max="13323" width="12.7109375" style="14" customWidth="1"/>
    <col min="13324" max="13324" width="13.7109375" style="14" customWidth="1"/>
    <col min="13325" max="13326" width="11.28515625" style="14" bestFit="1" customWidth="1"/>
    <col min="13327" max="13560" width="8.42578125" style="14"/>
    <col min="13561" max="13561" width="31.42578125" style="14" customWidth="1"/>
    <col min="13562" max="13564" width="12.7109375" style="14" customWidth="1"/>
    <col min="13565" max="13565" width="13.7109375" style="14" bestFit="1" customWidth="1"/>
    <col min="13566" max="13579" width="12.7109375" style="14" customWidth="1"/>
    <col min="13580" max="13580" width="13.7109375" style="14" customWidth="1"/>
    <col min="13581" max="13582" width="11.28515625" style="14" bestFit="1" customWidth="1"/>
    <col min="13583" max="13816" width="8.42578125" style="14"/>
    <col min="13817" max="13817" width="31.42578125" style="14" customWidth="1"/>
    <col min="13818" max="13820" width="12.7109375" style="14" customWidth="1"/>
    <col min="13821" max="13821" width="13.7109375" style="14" bestFit="1" customWidth="1"/>
    <col min="13822" max="13835" width="12.7109375" style="14" customWidth="1"/>
    <col min="13836" max="13836" width="13.7109375" style="14" customWidth="1"/>
    <col min="13837" max="13838" width="11.28515625" style="14" bestFit="1" customWidth="1"/>
    <col min="13839" max="14072" width="8.42578125" style="14"/>
    <col min="14073" max="14073" width="31.42578125" style="14" customWidth="1"/>
    <col min="14074" max="14076" width="12.7109375" style="14" customWidth="1"/>
    <col min="14077" max="14077" width="13.7109375" style="14" bestFit="1" customWidth="1"/>
    <col min="14078" max="14091" width="12.7109375" style="14" customWidth="1"/>
    <col min="14092" max="14092" width="13.7109375" style="14" customWidth="1"/>
    <col min="14093" max="14094" width="11.28515625" style="14" bestFit="1" customWidth="1"/>
    <col min="14095" max="14328" width="8.42578125" style="14"/>
    <col min="14329" max="14329" width="31.42578125" style="14" customWidth="1"/>
    <col min="14330" max="14332" width="12.7109375" style="14" customWidth="1"/>
    <col min="14333" max="14333" width="13.7109375" style="14" bestFit="1" customWidth="1"/>
    <col min="14334" max="14347" width="12.7109375" style="14" customWidth="1"/>
    <col min="14348" max="14348" width="13.7109375" style="14" customWidth="1"/>
    <col min="14349" max="14350" width="11.28515625" style="14" bestFit="1" customWidth="1"/>
    <col min="14351" max="14584" width="8.42578125" style="14"/>
    <col min="14585" max="14585" width="31.42578125" style="14" customWidth="1"/>
    <col min="14586" max="14588" width="12.7109375" style="14" customWidth="1"/>
    <col min="14589" max="14589" width="13.7109375" style="14" bestFit="1" customWidth="1"/>
    <col min="14590" max="14603" width="12.7109375" style="14" customWidth="1"/>
    <col min="14604" max="14604" width="13.7109375" style="14" customWidth="1"/>
    <col min="14605" max="14606" width="11.28515625" style="14" bestFit="1" customWidth="1"/>
    <col min="14607" max="14840" width="8.42578125" style="14"/>
    <col min="14841" max="14841" width="31.42578125" style="14" customWidth="1"/>
    <col min="14842" max="14844" width="12.7109375" style="14" customWidth="1"/>
    <col min="14845" max="14845" width="13.7109375" style="14" bestFit="1" customWidth="1"/>
    <col min="14846" max="14859" width="12.7109375" style="14" customWidth="1"/>
    <col min="14860" max="14860" width="13.7109375" style="14" customWidth="1"/>
    <col min="14861" max="14862" width="11.28515625" style="14" bestFit="1" customWidth="1"/>
    <col min="14863" max="15096" width="8.42578125" style="14"/>
    <col min="15097" max="15097" width="31.42578125" style="14" customWidth="1"/>
    <col min="15098" max="15100" width="12.7109375" style="14" customWidth="1"/>
    <col min="15101" max="15101" width="13.7109375" style="14" bestFit="1" customWidth="1"/>
    <col min="15102" max="15115" width="12.7109375" style="14" customWidth="1"/>
    <col min="15116" max="15116" width="13.7109375" style="14" customWidth="1"/>
    <col min="15117" max="15118" width="11.28515625" style="14" bestFit="1" customWidth="1"/>
    <col min="15119" max="15352" width="8.42578125" style="14"/>
    <col min="15353" max="15353" width="31.42578125" style="14" customWidth="1"/>
    <col min="15354" max="15356" width="12.7109375" style="14" customWidth="1"/>
    <col min="15357" max="15357" width="13.7109375" style="14" bestFit="1" customWidth="1"/>
    <col min="15358" max="15371" width="12.7109375" style="14" customWidth="1"/>
    <col min="15372" max="15372" width="13.7109375" style="14" customWidth="1"/>
    <col min="15373" max="15374" width="11.28515625" style="14" bestFit="1" customWidth="1"/>
    <col min="15375" max="15608" width="8.42578125" style="14"/>
    <col min="15609" max="15609" width="31.42578125" style="14" customWidth="1"/>
    <col min="15610" max="15612" width="12.7109375" style="14" customWidth="1"/>
    <col min="15613" max="15613" width="13.7109375" style="14" bestFit="1" customWidth="1"/>
    <col min="15614" max="15627" width="12.7109375" style="14" customWidth="1"/>
    <col min="15628" max="15628" width="13.7109375" style="14" customWidth="1"/>
    <col min="15629" max="15630" width="11.28515625" style="14" bestFit="1" customWidth="1"/>
    <col min="15631" max="15864" width="8.42578125" style="14"/>
    <col min="15865" max="15865" width="31.42578125" style="14" customWidth="1"/>
    <col min="15866" max="15868" width="12.7109375" style="14" customWidth="1"/>
    <col min="15869" max="15869" width="13.7109375" style="14" bestFit="1" customWidth="1"/>
    <col min="15870" max="15883" width="12.7109375" style="14" customWidth="1"/>
    <col min="15884" max="15884" width="13.7109375" style="14" customWidth="1"/>
    <col min="15885" max="15886" width="11.28515625" style="14" bestFit="1" customWidth="1"/>
    <col min="15887" max="16120" width="8.42578125" style="14"/>
    <col min="16121" max="16121" width="31.42578125" style="14" customWidth="1"/>
    <col min="16122" max="16124" width="12.7109375" style="14" customWidth="1"/>
    <col min="16125" max="16125" width="13.7109375" style="14" bestFit="1" customWidth="1"/>
    <col min="16126" max="16139" width="12.7109375" style="14" customWidth="1"/>
    <col min="16140" max="16140" width="13.7109375" style="14" customWidth="1"/>
    <col min="16141" max="16142" width="11.28515625" style="14" bestFit="1" customWidth="1"/>
    <col min="16143" max="16384" width="8.42578125" style="14"/>
  </cols>
  <sheetData>
    <row r="1" spans="1:13" s="7" customFormat="1" x14ac:dyDescent="0.15">
      <c r="A1" s="1"/>
      <c r="B1" s="120" t="s">
        <v>1</v>
      </c>
      <c r="C1" s="110" t="s">
        <v>0</v>
      </c>
      <c r="D1" s="110" t="s">
        <v>0</v>
      </c>
      <c r="E1" s="110" t="s">
        <v>2</v>
      </c>
      <c r="F1" s="186" t="s">
        <v>3</v>
      </c>
      <c r="G1" s="186"/>
      <c r="H1" s="187"/>
      <c r="I1" s="111"/>
      <c r="J1" s="110" t="s">
        <v>4</v>
      </c>
      <c r="K1" s="2" t="s">
        <v>5</v>
      </c>
      <c r="L1" s="6"/>
      <c r="M1" s="134" t="s">
        <v>109</v>
      </c>
    </row>
    <row r="2" spans="1:13" s="7" customFormat="1" x14ac:dyDescent="0.15">
      <c r="A2" s="8" t="s">
        <v>6</v>
      </c>
      <c r="B2" s="121" t="s">
        <v>8</v>
      </c>
      <c r="C2" s="112" t="s">
        <v>7</v>
      </c>
      <c r="D2" s="112" t="s">
        <v>9</v>
      </c>
      <c r="E2" s="112" t="s">
        <v>10</v>
      </c>
      <c r="F2" s="112" t="s">
        <v>11</v>
      </c>
      <c r="G2" s="112" t="s">
        <v>12</v>
      </c>
      <c r="H2" s="112" t="s">
        <v>13</v>
      </c>
      <c r="I2" s="112" t="s">
        <v>14</v>
      </c>
      <c r="J2" s="112" t="s">
        <v>15</v>
      </c>
      <c r="K2" s="8" t="s">
        <v>16</v>
      </c>
      <c r="L2" s="10" t="s">
        <v>17</v>
      </c>
      <c r="M2" s="135" t="s">
        <v>110</v>
      </c>
    </row>
    <row r="3" spans="1:13" x14ac:dyDescent="0.15">
      <c r="A3" s="11"/>
      <c r="B3" s="122"/>
      <c r="C3" s="113"/>
      <c r="D3" s="113"/>
      <c r="E3" s="113"/>
      <c r="F3" s="113"/>
      <c r="G3" s="113"/>
      <c r="H3" s="113"/>
      <c r="I3" s="113"/>
      <c r="J3" s="113"/>
      <c r="K3" s="11"/>
      <c r="L3" s="13"/>
      <c r="M3" s="136"/>
    </row>
    <row r="4" spans="1:13" x14ac:dyDescent="0.15">
      <c r="A4" s="11" t="s">
        <v>140</v>
      </c>
      <c r="B4" s="123">
        <v>1697497</v>
      </c>
      <c r="C4" s="114">
        <v>542483</v>
      </c>
      <c r="D4" s="114">
        <v>501050</v>
      </c>
      <c r="E4" s="114">
        <v>272354</v>
      </c>
      <c r="F4" s="114">
        <v>115373</v>
      </c>
      <c r="G4" s="114">
        <v>32474</v>
      </c>
      <c r="H4" s="114">
        <v>25900</v>
      </c>
      <c r="I4" s="114">
        <v>177878</v>
      </c>
      <c r="J4" s="114">
        <v>127868</v>
      </c>
      <c r="K4" s="15">
        <f>+'[1]16 earnings'!AH212</f>
        <v>19754</v>
      </c>
      <c r="L4" s="16">
        <f>+'[1]16 earnings'!AF212</f>
        <v>20552</v>
      </c>
      <c r="M4" s="137">
        <v>529226</v>
      </c>
    </row>
    <row r="5" spans="1:13" x14ac:dyDescent="0.15">
      <c r="A5" s="11"/>
      <c r="B5" s="122"/>
      <c r="C5" s="113"/>
      <c r="D5" s="113"/>
      <c r="E5" s="113"/>
      <c r="F5" s="113"/>
      <c r="G5" s="113"/>
      <c r="H5" s="113"/>
      <c r="I5" s="113"/>
      <c r="J5" s="113"/>
      <c r="K5" s="11"/>
      <c r="L5" s="13"/>
      <c r="M5" s="136"/>
    </row>
    <row r="6" spans="1:13" x14ac:dyDescent="0.15">
      <c r="A6" s="17" t="s">
        <v>19</v>
      </c>
      <c r="B6" s="124">
        <v>3300</v>
      </c>
      <c r="C6" s="115">
        <v>3300</v>
      </c>
      <c r="D6" s="115">
        <v>3300</v>
      </c>
      <c r="E6" s="115">
        <v>3300</v>
      </c>
      <c r="F6" s="115">
        <v>3300</v>
      </c>
      <c r="G6" s="115">
        <v>3300</v>
      </c>
      <c r="H6" s="115">
        <v>3300</v>
      </c>
      <c r="I6" s="115">
        <v>3300</v>
      </c>
      <c r="J6" s="115">
        <v>3300</v>
      </c>
      <c r="K6" s="18">
        <v>3300</v>
      </c>
      <c r="L6" s="19">
        <v>3300</v>
      </c>
      <c r="M6" s="138">
        <v>3300</v>
      </c>
    </row>
    <row r="7" spans="1:13" x14ac:dyDescent="0.15">
      <c r="A7" s="17" t="s">
        <v>20</v>
      </c>
      <c r="B7" s="122">
        <v>624</v>
      </c>
      <c r="C7" s="113">
        <v>450</v>
      </c>
      <c r="D7" s="113">
        <v>970</v>
      </c>
      <c r="E7" s="113">
        <v>970</v>
      </c>
      <c r="F7" s="113">
        <v>624</v>
      </c>
      <c r="G7" s="113">
        <v>624</v>
      </c>
      <c r="H7" s="113">
        <v>624</v>
      </c>
      <c r="I7" s="113">
        <v>624</v>
      </c>
      <c r="J7" s="113">
        <v>624</v>
      </c>
      <c r="K7" s="11">
        <v>100</v>
      </c>
      <c r="L7" s="13">
        <v>624</v>
      </c>
      <c r="M7" s="136">
        <v>624</v>
      </c>
    </row>
    <row r="8" spans="1:13" x14ac:dyDescent="0.15">
      <c r="A8" s="119" t="s">
        <v>21</v>
      </c>
      <c r="B8" s="122">
        <v>28.95</v>
      </c>
      <c r="C8" s="113">
        <v>120</v>
      </c>
      <c r="D8" s="113">
        <v>120</v>
      </c>
      <c r="E8" s="113"/>
      <c r="F8" s="113">
        <v>12</v>
      </c>
      <c r="G8" s="113">
        <f>+$B$8/(($B8-5)/5)</f>
        <v>6.0438413361169099</v>
      </c>
      <c r="H8" s="113">
        <v>5</v>
      </c>
      <c r="I8" s="113">
        <v>157.90209999999999</v>
      </c>
      <c r="J8" s="113">
        <f>28*6</f>
        <v>168</v>
      </c>
      <c r="K8" s="11">
        <v>15</v>
      </c>
      <c r="L8" s="13">
        <v>15</v>
      </c>
      <c r="M8" s="136">
        <v>28</v>
      </c>
    </row>
    <row r="9" spans="1:13" x14ac:dyDescent="0.15">
      <c r="A9" s="17" t="s">
        <v>22</v>
      </c>
      <c r="B9" s="122">
        <f>345/0.15</f>
        <v>2300</v>
      </c>
      <c r="C9" s="113">
        <v>345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">
        <v>0</v>
      </c>
      <c r="L9" s="13">
        <v>0</v>
      </c>
      <c r="M9" s="136">
        <v>0</v>
      </c>
    </row>
    <row r="10" spans="1:13" x14ac:dyDescent="0.15">
      <c r="A10" s="17" t="s">
        <v>23</v>
      </c>
      <c r="B10" s="122">
        <v>0</v>
      </c>
      <c r="C10" s="113">
        <f>18*4</f>
        <v>72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">
        <v>0</v>
      </c>
      <c r="L10" s="13">
        <v>0</v>
      </c>
      <c r="M10" s="136">
        <v>0</v>
      </c>
    </row>
    <row r="11" spans="1:13" x14ac:dyDescent="0.15">
      <c r="A11" s="17" t="s">
        <v>24</v>
      </c>
      <c r="B11" s="122">
        <v>345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">
        <v>0</v>
      </c>
      <c r="L11" s="13">
        <v>0</v>
      </c>
      <c r="M11" s="136">
        <v>0</v>
      </c>
    </row>
    <row r="12" spans="1:13" x14ac:dyDescent="0.15">
      <c r="A12" s="17" t="s">
        <v>25</v>
      </c>
      <c r="B12" s="122">
        <v>450</v>
      </c>
      <c r="C12" s="113">
        <v>450</v>
      </c>
      <c r="D12" s="113">
        <v>450</v>
      </c>
      <c r="E12" s="113">
        <v>450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">
        <v>450</v>
      </c>
      <c r="L12" s="13">
        <v>0</v>
      </c>
      <c r="M12" s="136">
        <v>0</v>
      </c>
    </row>
    <row r="13" spans="1:13" x14ac:dyDescent="0.15">
      <c r="A13" s="17" t="s">
        <v>26</v>
      </c>
      <c r="B13" s="125">
        <v>2475</v>
      </c>
      <c r="C13" s="116">
        <v>2475</v>
      </c>
      <c r="D13" s="116">
        <v>2475</v>
      </c>
      <c r="E13" s="116">
        <v>2475</v>
      </c>
      <c r="F13" s="116">
        <v>2475</v>
      </c>
      <c r="G13" s="116">
        <v>2475</v>
      </c>
      <c r="H13" s="116">
        <v>2475</v>
      </c>
      <c r="I13" s="116">
        <v>2475</v>
      </c>
      <c r="J13" s="116">
        <v>2475</v>
      </c>
      <c r="K13" s="20">
        <v>2475</v>
      </c>
      <c r="L13" s="21">
        <v>2475</v>
      </c>
      <c r="M13" s="139">
        <v>2475</v>
      </c>
    </row>
    <row r="14" spans="1:13" x14ac:dyDescent="0.15">
      <c r="A14" s="17" t="s">
        <v>27</v>
      </c>
      <c r="B14" s="125">
        <v>2475</v>
      </c>
      <c r="C14" s="116">
        <v>2475</v>
      </c>
      <c r="D14" s="116">
        <v>2475</v>
      </c>
      <c r="E14" s="116">
        <v>2475</v>
      </c>
      <c r="F14" s="116">
        <v>2475</v>
      </c>
      <c r="G14" s="116">
        <v>2475</v>
      </c>
      <c r="H14" s="116">
        <v>2475</v>
      </c>
      <c r="I14" s="116">
        <v>2475</v>
      </c>
      <c r="J14" s="116">
        <v>2475</v>
      </c>
      <c r="K14" s="20">
        <v>2475</v>
      </c>
      <c r="L14" s="21">
        <v>2475</v>
      </c>
      <c r="M14" s="139">
        <v>2475</v>
      </c>
    </row>
    <row r="15" spans="1:13" x14ac:dyDescent="0.15">
      <c r="A15" s="17" t="s">
        <v>28</v>
      </c>
      <c r="B15" s="125">
        <v>1100</v>
      </c>
      <c r="C15" s="116">
        <v>1100</v>
      </c>
      <c r="D15" s="116">
        <v>1100</v>
      </c>
      <c r="E15" s="116">
        <v>1100</v>
      </c>
      <c r="F15" s="116">
        <v>1100</v>
      </c>
      <c r="G15" s="116">
        <v>1100</v>
      </c>
      <c r="H15" s="116">
        <v>1100</v>
      </c>
      <c r="I15" s="116">
        <v>1100</v>
      </c>
      <c r="J15" s="116">
        <v>1100</v>
      </c>
      <c r="K15" s="20">
        <v>1100</v>
      </c>
      <c r="L15" s="21">
        <v>1100</v>
      </c>
      <c r="M15" s="139">
        <v>1100</v>
      </c>
    </row>
    <row r="16" spans="1:13" x14ac:dyDescent="0.15">
      <c r="A16" s="17" t="s">
        <v>29</v>
      </c>
      <c r="B16" s="122">
        <v>0</v>
      </c>
      <c r="C16" s="113">
        <v>0</v>
      </c>
      <c r="D16" s="113">
        <v>0</v>
      </c>
      <c r="E16" s="113">
        <v>300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">
        <v>0</v>
      </c>
      <c r="L16" s="13">
        <v>0</v>
      </c>
      <c r="M16" s="136">
        <v>0</v>
      </c>
    </row>
    <row r="17" spans="1:13" x14ac:dyDescent="0.15">
      <c r="A17" s="22" t="s">
        <v>30</v>
      </c>
      <c r="B17" s="126">
        <v>0</v>
      </c>
      <c r="C17" s="117">
        <v>0</v>
      </c>
      <c r="D17" s="117">
        <v>0</v>
      </c>
      <c r="E17" s="117">
        <v>0</v>
      </c>
      <c r="F17" s="117">
        <v>200</v>
      </c>
      <c r="G17" s="117">
        <v>200</v>
      </c>
      <c r="H17" s="117">
        <v>200</v>
      </c>
      <c r="I17" s="117">
        <v>200</v>
      </c>
      <c r="J17" s="117">
        <v>0</v>
      </c>
      <c r="K17" s="23">
        <v>0</v>
      </c>
      <c r="L17" s="24">
        <v>0</v>
      </c>
      <c r="M17" s="140">
        <v>0</v>
      </c>
    </row>
    <row r="18" spans="1:13" s="28" customFormat="1" x14ac:dyDescent="0.15">
      <c r="A18" s="25" t="s">
        <v>31</v>
      </c>
      <c r="B18" s="127">
        <f>B69/$B69</f>
        <v>1</v>
      </c>
      <c r="C18" s="118">
        <f>C69/$B69</f>
        <v>0.26578326553298975</v>
      </c>
      <c r="D18" s="118">
        <f>D69/$B69</f>
        <v>0.18757327832872323</v>
      </c>
      <c r="E18" s="118">
        <f>E69/$B69</f>
        <v>0.10575844800634122</v>
      </c>
      <c r="F18" s="118">
        <f t="shared" ref="F18:J18" si="0">F69/$B69</f>
        <v>1.5159602010970836</v>
      </c>
      <c r="G18" s="118">
        <f t="shared" si="0"/>
        <v>2.9333019970744316</v>
      </c>
      <c r="H18" s="118">
        <f t="shared" si="0"/>
        <v>3.6156568788792276</v>
      </c>
      <c r="I18" s="118">
        <f t="shared" si="0"/>
        <v>0.10575844414804203</v>
      </c>
      <c r="J18" s="118">
        <f t="shared" si="0"/>
        <v>0.10470179118454769</v>
      </c>
      <c r="K18" s="26">
        <f>K69/$D69</f>
        <v>9.457096474680025</v>
      </c>
      <c r="L18" s="27">
        <f>L69/$D69</f>
        <v>8.4118913933100146</v>
      </c>
      <c r="M18" s="141">
        <v>0.25</v>
      </c>
    </row>
    <row r="19" spans="1:13" s="7" customFormat="1" x14ac:dyDescent="0.15">
      <c r="A19" s="29"/>
      <c r="B19" s="127"/>
      <c r="C19" s="30"/>
      <c r="D19" s="30"/>
      <c r="E19" s="30"/>
      <c r="F19" s="30"/>
      <c r="G19" s="30"/>
      <c r="H19" s="30"/>
      <c r="I19" s="30"/>
      <c r="J19" s="30"/>
      <c r="K19" s="30">
        <v>1.6025</v>
      </c>
      <c r="L19" s="31">
        <v>1.3128</v>
      </c>
      <c r="M19" s="31"/>
    </row>
    <row r="20" spans="1:13" s="7" customFormat="1" x14ac:dyDescent="0.15">
      <c r="A20" s="32"/>
      <c r="B20" s="128"/>
      <c r="C20" s="33"/>
      <c r="D20" s="33"/>
      <c r="E20" s="33"/>
      <c r="F20" s="33"/>
      <c r="G20" s="33"/>
      <c r="H20" s="33"/>
      <c r="I20" s="33"/>
      <c r="J20" s="33"/>
      <c r="K20" s="33">
        <f t="shared" ref="K20:L20" si="1">(K18-K19)/K19</f>
        <v>4.9014642587706865</v>
      </c>
      <c r="L20" s="33">
        <f t="shared" si="1"/>
        <v>5.4075955159277989</v>
      </c>
      <c r="M20" s="142"/>
    </row>
    <row r="21" spans="1:13" x14ac:dyDescent="0.15">
      <c r="A21" s="11"/>
      <c r="B21" s="122"/>
      <c r="C21" s="11"/>
      <c r="D21" s="11"/>
      <c r="E21" s="11"/>
      <c r="F21" s="11"/>
      <c r="G21" s="11"/>
      <c r="H21" s="11"/>
      <c r="I21" s="11"/>
      <c r="J21" s="11"/>
      <c r="K21" s="11"/>
      <c r="L21" s="13"/>
      <c r="M21" s="13"/>
    </row>
    <row r="22" spans="1:13" x14ac:dyDescent="0.15">
      <c r="A22" s="34" t="s">
        <v>32</v>
      </c>
      <c r="B22" s="122"/>
      <c r="C22" s="11"/>
      <c r="D22" s="11"/>
      <c r="E22" s="11"/>
      <c r="F22" s="11"/>
      <c r="G22" s="11"/>
      <c r="H22" s="11"/>
      <c r="I22" s="11"/>
      <c r="J22" s="11"/>
      <c r="K22" s="11"/>
      <c r="L22" s="13"/>
      <c r="M22" s="13"/>
    </row>
    <row r="23" spans="1:13" x14ac:dyDescent="0.15">
      <c r="A23" s="11"/>
      <c r="B23" s="122"/>
      <c r="C23" s="11"/>
      <c r="D23" s="11"/>
      <c r="E23" s="11"/>
      <c r="F23" s="11"/>
      <c r="G23" s="11"/>
      <c r="H23" s="11"/>
      <c r="I23" s="11"/>
      <c r="J23" s="11"/>
      <c r="K23" s="11"/>
      <c r="L23" s="13"/>
      <c r="M23" s="13"/>
    </row>
    <row r="24" spans="1:13" x14ac:dyDescent="0.15">
      <c r="A24" s="17" t="s">
        <v>33</v>
      </c>
      <c r="B24" s="129">
        <f>'Salary Info'!$C$16/B8</f>
        <v>1176.4645250431779</v>
      </c>
      <c r="C24" s="36">
        <f>'Salary Info'!$C$16/C8</f>
        <v>283.82206666666667</v>
      </c>
      <c r="D24" s="36">
        <f>'Salary Info'!$C$16/D8</f>
        <v>283.82206666666667</v>
      </c>
      <c r="E24" s="36"/>
      <c r="F24" s="36">
        <f>'Salary Info'!$C$16/F8</f>
        <v>2838.2206666666666</v>
      </c>
      <c r="G24" s="36">
        <f>'Salary Info'!$C$16/G8</f>
        <v>5635.2650749568229</v>
      </c>
      <c r="H24" s="36">
        <f>'Salary Info'!$C$16/H8</f>
        <v>6811.7296000000006</v>
      </c>
      <c r="I24" s="36">
        <f>'Salary Info'!$C$16/I8</f>
        <v>215.69471210325895</v>
      </c>
      <c r="J24" s="36">
        <f>'Salary Info'!$C$16/J8</f>
        <v>202.73004761904764</v>
      </c>
      <c r="K24" s="35">
        <f>'[1]Salary Info'!$C$16/'[1]Formula Weights'!S8</f>
        <v>2588.5501866666668</v>
      </c>
      <c r="L24" s="35">
        <f>'[1]Salary Info'!$C$16/'[1]Formula Weights'!T8</f>
        <v>2588.5501866666668</v>
      </c>
      <c r="M24" s="143"/>
    </row>
    <row r="25" spans="1:13" x14ac:dyDescent="0.15">
      <c r="A25" s="17" t="s">
        <v>34</v>
      </c>
      <c r="B25" s="129"/>
      <c r="C25" s="35">
        <f>'Salary Info'!$C$21/C10</f>
        <v>157.67892592592591</v>
      </c>
      <c r="D25" s="35"/>
      <c r="E25" s="35"/>
      <c r="F25" s="35"/>
      <c r="G25" s="35"/>
      <c r="H25" s="35"/>
      <c r="I25" s="35"/>
      <c r="J25" s="35"/>
      <c r="K25" s="35"/>
      <c r="L25" s="37"/>
      <c r="M25" s="37"/>
    </row>
    <row r="26" spans="1:13" x14ac:dyDescent="0.15">
      <c r="A26" s="17" t="s">
        <v>35</v>
      </c>
      <c r="B26" s="129">
        <f>'Salary Info'!$C$28/'Formula Weights'!B12</f>
        <v>75.352551111111111</v>
      </c>
      <c r="C26" s="35"/>
      <c r="D26" s="35"/>
      <c r="E26" s="35"/>
      <c r="F26" s="35"/>
      <c r="G26" s="35"/>
      <c r="H26" s="35"/>
      <c r="I26" s="35"/>
      <c r="J26" s="35"/>
      <c r="K26" s="35">
        <f>'[1]Salary Info'!$C$28/'[1]Formula Weights'!S12</f>
        <v>85.951672888888893</v>
      </c>
      <c r="L26" s="35"/>
      <c r="M26" s="37"/>
    </row>
    <row r="27" spans="1:13" x14ac:dyDescent="0.15">
      <c r="A27" s="17" t="s">
        <v>36</v>
      </c>
      <c r="B27" s="129">
        <f>'Salary Info'!$C$16/B9</f>
        <v>14.808107826086957</v>
      </c>
      <c r="C27" s="35">
        <f>'Salary Info'!$C$16/C9</f>
        <v>98.720718840579707</v>
      </c>
      <c r="D27" s="35"/>
      <c r="E27" s="35"/>
      <c r="F27" s="35"/>
      <c r="G27" s="35"/>
      <c r="H27" s="35"/>
      <c r="I27" s="35"/>
      <c r="J27" s="35"/>
      <c r="K27" s="35"/>
      <c r="L27" s="37"/>
      <c r="M27" s="37"/>
    </row>
    <row r="28" spans="1:13" x14ac:dyDescent="0.15">
      <c r="A28" s="17" t="s">
        <v>37</v>
      </c>
      <c r="B28" s="129">
        <f>'Salary Info'!$C$28/B15</f>
        <v>30.826043636363636</v>
      </c>
      <c r="C28" s="35"/>
      <c r="D28" s="35"/>
      <c r="E28" s="35"/>
      <c r="F28" s="35"/>
      <c r="G28" s="35"/>
      <c r="H28" s="35"/>
      <c r="I28" s="35"/>
      <c r="J28" s="35"/>
      <c r="K28" s="35">
        <f>'[1]Salary Info'!$C$28/'[1]Formula Weights'!S15</f>
        <v>35.162047999999999</v>
      </c>
      <c r="L28" s="35">
        <f>'[1]Salary Info'!$C$28/'[1]Formula Weights'!T15</f>
        <v>35.162047999999999</v>
      </c>
      <c r="M28" s="37"/>
    </row>
    <row r="29" spans="1:13" x14ac:dyDescent="0.15">
      <c r="A29" s="17" t="s">
        <v>38</v>
      </c>
      <c r="B29" s="129">
        <v>85.798965714285714</v>
      </c>
      <c r="C29" s="35"/>
      <c r="D29" s="35">
        <v>97.296885714285693</v>
      </c>
      <c r="E29" s="35">
        <v>215.69471999999996</v>
      </c>
      <c r="F29" s="35">
        <v>67.08280000000002</v>
      </c>
      <c r="G29" s="35">
        <v>143.44792000000001</v>
      </c>
      <c r="H29" s="35">
        <v>352.00663999999995</v>
      </c>
      <c r="I29" s="35"/>
      <c r="J29" s="35">
        <f>57.435/6</f>
        <v>9.5724999999999998</v>
      </c>
      <c r="K29" s="35">
        <v>70.425000000000011</v>
      </c>
      <c r="L29" s="35">
        <v>57.437845714285707</v>
      </c>
      <c r="M29" s="37">
        <v>0</v>
      </c>
    </row>
    <row r="30" spans="1:13" x14ac:dyDescent="0.15">
      <c r="A30" s="38" t="s">
        <v>39</v>
      </c>
      <c r="B30" s="130">
        <f t="shared" ref="B30:M30" si="2">SUM(B24:B29)</f>
        <v>1383.2501933310255</v>
      </c>
      <c r="C30" s="39">
        <f t="shared" si="2"/>
        <v>540.22171143317223</v>
      </c>
      <c r="D30" s="39">
        <f t="shared" si="2"/>
        <v>381.11895238095235</v>
      </c>
      <c r="E30" s="39">
        <f t="shared" si="2"/>
        <v>215.69471999999996</v>
      </c>
      <c r="F30" s="39">
        <f t="shared" si="2"/>
        <v>2905.3034666666667</v>
      </c>
      <c r="G30" s="39">
        <f t="shared" si="2"/>
        <v>5778.7129949568225</v>
      </c>
      <c r="H30" s="39">
        <f t="shared" si="2"/>
        <v>7163.7362400000002</v>
      </c>
      <c r="I30" s="39">
        <f t="shared" si="2"/>
        <v>215.69471210325895</v>
      </c>
      <c r="J30" s="39">
        <f t="shared" si="2"/>
        <v>212.30254761904763</v>
      </c>
      <c r="K30" s="39">
        <f t="shared" si="2"/>
        <v>2780.088907555556</v>
      </c>
      <c r="L30" s="40">
        <f t="shared" si="2"/>
        <v>2681.1500803809527</v>
      </c>
      <c r="M30" s="40">
        <f t="shared" si="2"/>
        <v>0</v>
      </c>
    </row>
    <row r="31" spans="1:13" x14ac:dyDescent="0.15">
      <c r="A31" s="11"/>
      <c r="B31" s="129"/>
      <c r="C31" s="35"/>
      <c r="D31" s="35"/>
      <c r="E31" s="35"/>
      <c r="F31" s="35"/>
      <c r="G31" s="35"/>
      <c r="H31" s="35"/>
      <c r="I31" s="35"/>
      <c r="J31" s="35"/>
      <c r="K31" s="35"/>
      <c r="L31" s="37"/>
      <c r="M31" s="37"/>
    </row>
    <row r="32" spans="1:13" x14ac:dyDescent="0.15">
      <c r="A32" s="34" t="s">
        <v>40</v>
      </c>
      <c r="B32" s="129"/>
      <c r="C32" s="35"/>
      <c r="D32" s="35"/>
      <c r="E32" s="35"/>
      <c r="F32" s="35"/>
      <c r="G32" s="35"/>
      <c r="H32" s="35"/>
      <c r="I32" s="35"/>
      <c r="J32" s="35"/>
      <c r="K32" s="35"/>
      <c r="L32" s="37"/>
      <c r="M32" s="37"/>
    </row>
    <row r="33" spans="1:13" x14ac:dyDescent="0.15">
      <c r="A33" s="11"/>
      <c r="B33" s="129"/>
      <c r="C33" s="35"/>
      <c r="D33" s="35"/>
      <c r="E33" s="35"/>
      <c r="F33" s="35"/>
      <c r="G33" s="35"/>
      <c r="H33" s="35"/>
      <c r="I33" s="35"/>
      <c r="J33" s="35"/>
      <c r="K33" s="35"/>
      <c r="L33" s="37"/>
      <c r="M33" s="37"/>
    </row>
    <row r="34" spans="1:13" x14ac:dyDescent="0.15">
      <c r="A34" s="17" t="s">
        <v>41</v>
      </c>
      <c r="B34" s="129"/>
      <c r="C34" s="35"/>
      <c r="D34" s="35"/>
      <c r="E34" s="35"/>
      <c r="F34" s="35"/>
      <c r="G34" s="35"/>
      <c r="H34" s="35"/>
      <c r="I34" s="35"/>
      <c r="J34" s="35"/>
      <c r="K34" s="35"/>
      <c r="L34" s="37"/>
      <c r="M34" s="37"/>
    </row>
    <row r="35" spans="1:13" x14ac:dyDescent="0.15">
      <c r="A35" s="17" t="s">
        <v>42</v>
      </c>
      <c r="B35" s="129">
        <v>9.389826065317024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7"/>
    </row>
    <row r="36" spans="1:13" x14ac:dyDescent="0.15">
      <c r="A36" s="41" t="s">
        <v>43</v>
      </c>
      <c r="B36" s="129">
        <f>'Salary Info'!$C$28/B14</f>
        <v>13.700463838383838</v>
      </c>
      <c r="C36" s="35"/>
      <c r="D36" s="35"/>
      <c r="E36" s="35"/>
      <c r="F36" s="35"/>
      <c r="G36" s="35"/>
      <c r="H36" s="35"/>
      <c r="I36" s="35"/>
      <c r="J36" s="35"/>
      <c r="K36" s="35">
        <f>'[1]Salary Info'!$C$28/'[1]Formula Weights'!S14</f>
        <v>15.627576888888889</v>
      </c>
      <c r="L36" s="35">
        <f>'[1]Salary Info'!$C$28/'[1]Formula Weights'!T14</f>
        <v>15.627576888888889</v>
      </c>
      <c r="M36" s="37"/>
    </row>
    <row r="37" spans="1:13" x14ac:dyDescent="0.15">
      <c r="A37" s="17" t="s">
        <v>44</v>
      </c>
      <c r="B37" s="129"/>
      <c r="C37" s="35"/>
      <c r="D37" s="35"/>
      <c r="E37" s="35"/>
      <c r="F37" s="35">
        <f>'Salary Info'!$C28/F17</f>
        <v>169.54324</v>
      </c>
      <c r="G37" s="35">
        <f>'Salary Info'!$C28/G17</f>
        <v>169.54324</v>
      </c>
      <c r="H37" s="35">
        <f>'Salary Info'!$C28/H17</f>
        <v>169.54324</v>
      </c>
      <c r="I37" s="35"/>
      <c r="J37" s="35"/>
      <c r="K37" s="35"/>
      <c r="L37" s="37"/>
      <c r="M37" s="37"/>
    </row>
    <row r="38" spans="1:13" x14ac:dyDescent="0.15">
      <c r="A38" s="17" t="s">
        <v>45</v>
      </c>
      <c r="B38" s="129">
        <f>'Salary Info'!$C$28/B13</f>
        <v>13.700463838383838</v>
      </c>
      <c r="C38" s="35"/>
      <c r="D38" s="35"/>
      <c r="E38" s="35"/>
      <c r="F38" s="35"/>
      <c r="G38" s="35"/>
      <c r="H38" s="35"/>
      <c r="I38" s="35"/>
      <c r="J38" s="35"/>
      <c r="K38" s="35">
        <f>'[1]Salary Info'!$C28/'[1]Formula Weights'!S13</f>
        <v>15.627576888888889</v>
      </c>
      <c r="L38" s="35">
        <f>'[1]Salary Info'!$C28/'[1]Formula Weights'!T13</f>
        <v>15.627576888888889</v>
      </c>
      <c r="M38" s="37"/>
    </row>
    <row r="39" spans="1:13" x14ac:dyDescent="0.15">
      <c r="A39" s="17" t="s">
        <v>46</v>
      </c>
      <c r="B39" s="129">
        <f>+'[2]Operations Detail'!I25</f>
        <v>0</v>
      </c>
      <c r="C39" s="35">
        <f>+'[2]Operations Detail'!E25</f>
        <v>0</v>
      </c>
      <c r="D39" s="35">
        <f>+'[2]Operations Detail'!J25</f>
        <v>0</v>
      </c>
      <c r="E39" s="35">
        <f>+'[1]Operations Detail'!K25</f>
        <v>0</v>
      </c>
      <c r="F39" s="35">
        <f>+'[1]Operations Detail'!M25</f>
        <v>0</v>
      </c>
      <c r="G39" s="35">
        <f>+'[1]Operations Detail'!N25</f>
        <v>0</v>
      </c>
      <c r="H39" s="35">
        <f>+'[1]Operations Detail'!O25</f>
        <v>0</v>
      </c>
      <c r="I39" s="35"/>
      <c r="J39" s="35">
        <f>+'[1]Operations Detail'!R25</f>
        <v>0</v>
      </c>
      <c r="K39" s="35">
        <f>+'[1]Operations Detail'!S25</f>
        <v>0</v>
      </c>
      <c r="L39" s="35">
        <f>+'[1]Operations Detail'!T25</f>
        <v>0</v>
      </c>
      <c r="M39" s="37">
        <f>+'[1]Operations Detail'!U25</f>
        <v>0</v>
      </c>
    </row>
    <row r="40" spans="1:13" x14ac:dyDescent="0.15">
      <c r="A40" s="17" t="s">
        <v>47</v>
      </c>
      <c r="B40" s="129">
        <f>SUM(B35:B39)</f>
        <v>36.790753742084704</v>
      </c>
      <c r="C40" s="35">
        <f>SUM(C36:C39)</f>
        <v>0</v>
      </c>
      <c r="D40" s="35">
        <f t="shared" ref="D40:G40" si="3">SUM(D36:D39)</f>
        <v>0</v>
      </c>
      <c r="E40" s="35">
        <f t="shared" si="3"/>
        <v>0</v>
      </c>
      <c r="F40" s="35">
        <f t="shared" si="3"/>
        <v>169.54324</v>
      </c>
      <c r="G40" s="35">
        <f t="shared" si="3"/>
        <v>169.54324</v>
      </c>
      <c r="H40" s="35">
        <f t="shared" ref="H40:M40" si="4">SUM(H36:H39)</f>
        <v>169.54324</v>
      </c>
      <c r="I40" s="35">
        <f t="shared" si="4"/>
        <v>0</v>
      </c>
      <c r="J40" s="35">
        <f t="shared" si="4"/>
        <v>0</v>
      </c>
      <c r="K40" s="35">
        <f t="shared" si="4"/>
        <v>31.255153777777778</v>
      </c>
      <c r="L40" s="37">
        <f t="shared" si="4"/>
        <v>31.255153777777778</v>
      </c>
      <c r="M40" s="37">
        <f t="shared" si="4"/>
        <v>0</v>
      </c>
    </row>
    <row r="41" spans="1:13" x14ac:dyDescent="0.15">
      <c r="A41" s="11"/>
      <c r="B41" s="129"/>
      <c r="C41" s="35"/>
      <c r="D41" s="35"/>
      <c r="E41" s="35"/>
      <c r="F41" s="35"/>
      <c r="G41" s="35"/>
      <c r="H41" s="35"/>
      <c r="I41" s="35"/>
      <c r="J41" s="35"/>
      <c r="K41" s="35"/>
      <c r="L41" s="37"/>
      <c r="M41" s="37"/>
    </row>
    <row r="42" spans="1:13" x14ac:dyDescent="0.15">
      <c r="A42" s="17" t="s">
        <v>48</v>
      </c>
      <c r="B42" s="129"/>
      <c r="C42" s="35"/>
      <c r="D42" s="35"/>
      <c r="E42" s="35"/>
      <c r="F42" s="35"/>
      <c r="G42" s="35"/>
      <c r="H42" s="35"/>
      <c r="I42" s="35"/>
      <c r="J42" s="35"/>
      <c r="K42" s="35"/>
      <c r="L42" s="37"/>
      <c r="M42" s="37"/>
    </row>
    <row r="43" spans="1:13" x14ac:dyDescent="0.15">
      <c r="A43" s="17" t="s">
        <v>49</v>
      </c>
      <c r="B43" s="131">
        <v>61.930880290215534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7"/>
    </row>
    <row r="44" spans="1:13" x14ac:dyDescent="0.15">
      <c r="A44" s="17" t="s">
        <v>50</v>
      </c>
      <c r="B44" s="129">
        <f>('Salary Info'!$C28/B7)*1</f>
        <v>54.340782051282055</v>
      </c>
      <c r="C44" s="35"/>
      <c r="D44" s="35"/>
      <c r="E44" s="35"/>
      <c r="F44" s="35"/>
      <c r="G44" s="35"/>
      <c r="H44" s="35"/>
      <c r="I44" s="35"/>
      <c r="J44" s="35"/>
      <c r="K44" s="35">
        <f>('[1]Salary Info'!$C28/'[1]Formula Weights'!S7)*1</f>
        <v>386.78252800000001</v>
      </c>
      <c r="L44" s="35">
        <f>('[1]Salary Info'!$C28/'[1]Formula Weights'!T7)*1</f>
        <v>61.984379487179488</v>
      </c>
      <c r="M44" s="37"/>
    </row>
    <row r="45" spans="1:13" x14ac:dyDescent="0.15">
      <c r="A45" s="17" t="s">
        <v>51</v>
      </c>
      <c r="B45" s="129">
        <f>'Salary Info'!$C35/B7</f>
        <v>22.701923076923077</v>
      </c>
      <c r="C45" s="35"/>
      <c r="D45" s="35"/>
      <c r="E45" s="35"/>
      <c r="F45" s="35"/>
      <c r="G45" s="35"/>
      <c r="H45" s="35"/>
      <c r="I45" s="35"/>
      <c r="J45" s="35"/>
      <c r="K45" s="35">
        <f>'[1]Salary Info'!$C35/B7</f>
        <v>25.941487500000001</v>
      </c>
      <c r="L45" s="35">
        <f>'[1]Salary Info'!$C35/'[1]Formula Weights'!T7</f>
        <v>25.941487500000001</v>
      </c>
      <c r="M45" s="37"/>
    </row>
    <row r="46" spans="1:13" x14ac:dyDescent="0.15">
      <c r="A46" s="17" t="s">
        <v>46</v>
      </c>
      <c r="B46" s="129">
        <v>6.06</v>
      </c>
      <c r="C46" s="35">
        <f>+'[2]Operations Detail'!E31</f>
        <v>0</v>
      </c>
      <c r="D46" s="35">
        <f>+'[2]Operations Detail'!J31</f>
        <v>0</v>
      </c>
      <c r="E46" s="35">
        <f>+'[2]Operations Detail'!K31</f>
        <v>0.76000000000000068</v>
      </c>
      <c r="F46" s="35">
        <f>+'[2]Operations Detail'!M31</f>
        <v>0</v>
      </c>
      <c r="G46" s="35">
        <f>+'[2]Operations Detail'!N31</f>
        <v>0</v>
      </c>
      <c r="H46" s="35">
        <f>+'[2]Operations Detail'!O31</f>
        <v>0</v>
      </c>
      <c r="I46" s="35">
        <v>0.76</v>
      </c>
      <c r="J46" s="35">
        <f>+'[2]Operations Detail'!R31</f>
        <v>0</v>
      </c>
      <c r="K46" s="35">
        <f>+'[1]Operations Detail'!S31</f>
        <v>6.06</v>
      </c>
      <c r="L46" s="35">
        <f>+'[1]Operations Detail'!T31</f>
        <v>6.06</v>
      </c>
      <c r="M46" s="37">
        <f>+'[2]Operations Detail'!U31</f>
        <v>0</v>
      </c>
    </row>
    <row r="47" spans="1:13" x14ac:dyDescent="0.15">
      <c r="A47" s="17" t="s">
        <v>52</v>
      </c>
      <c r="B47" s="131">
        <f>SUM(B43:B46)</f>
        <v>145.03358541842067</v>
      </c>
      <c r="C47" s="35">
        <f t="shared" ref="C47:M47" si="5">SUM(C44:C46)</f>
        <v>0</v>
      </c>
      <c r="D47" s="35">
        <f t="shared" si="5"/>
        <v>0</v>
      </c>
      <c r="E47" s="35">
        <f t="shared" si="5"/>
        <v>0.76000000000000068</v>
      </c>
      <c r="F47" s="35">
        <f t="shared" si="5"/>
        <v>0</v>
      </c>
      <c r="G47" s="35">
        <f t="shared" si="5"/>
        <v>0</v>
      </c>
      <c r="H47" s="35">
        <f t="shared" si="5"/>
        <v>0</v>
      </c>
      <c r="I47" s="35">
        <f t="shared" si="5"/>
        <v>0.76</v>
      </c>
      <c r="J47" s="35">
        <f t="shared" si="5"/>
        <v>0</v>
      </c>
      <c r="K47" s="35">
        <f t="shared" si="5"/>
        <v>418.78401550000001</v>
      </c>
      <c r="L47" s="37">
        <f t="shared" si="5"/>
        <v>93.985866987179492</v>
      </c>
      <c r="M47" s="37">
        <f t="shared" si="5"/>
        <v>0</v>
      </c>
    </row>
    <row r="48" spans="1:13" x14ac:dyDescent="0.15">
      <c r="A48" s="11"/>
      <c r="B48" s="129"/>
      <c r="C48" s="35"/>
      <c r="D48" s="35"/>
      <c r="E48" s="35"/>
      <c r="F48" s="35"/>
      <c r="G48" s="35"/>
      <c r="H48" s="35"/>
      <c r="I48" s="35"/>
      <c r="J48" s="35"/>
      <c r="K48" s="35"/>
      <c r="L48" s="37"/>
      <c r="M48" s="37"/>
    </row>
    <row r="49" spans="1:14" x14ac:dyDescent="0.15">
      <c r="A49" s="17" t="s">
        <v>53</v>
      </c>
      <c r="B49" s="129">
        <v>298</v>
      </c>
      <c r="C49" s="35">
        <f>+'[2]Operations Detail'!E34</f>
        <v>0</v>
      </c>
      <c r="D49" s="35">
        <f>+'[2]Operations Detail'!J34</f>
        <v>0</v>
      </c>
      <c r="E49" s="35">
        <f>+'[2]Operations Detail'!K34</f>
        <v>0</v>
      </c>
      <c r="F49" s="35">
        <f>+'[2]Operations Detail'!M34</f>
        <v>0</v>
      </c>
      <c r="G49" s="35">
        <f>+'[2]Operations Detail'!N34</f>
        <v>0</v>
      </c>
      <c r="H49" s="35">
        <f>+'[2]Operations Detail'!O34</f>
        <v>0</v>
      </c>
      <c r="I49" s="35">
        <v>0</v>
      </c>
      <c r="J49" s="35">
        <f>+'[2]Operations Detail'!R34</f>
        <v>0</v>
      </c>
      <c r="K49" s="35">
        <f>+'[1]Operations Detail'!S34</f>
        <v>298</v>
      </c>
      <c r="L49" s="35">
        <f>+'[1]Operations Detail'!T34</f>
        <v>298</v>
      </c>
      <c r="M49" s="37">
        <f>+'[2]Operations Detail'!U34</f>
        <v>0</v>
      </c>
    </row>
    <row r="50" spans="1:14" x14ac:dyDescent="0.15">
      <c r="A50" s="11"/>
      <c r="B50" s="129"/>
      <c r="C50" s="35"/>
      <c r="D50" s="35"/>
      <c r="E50" s="35"/>
      <c r="F50" s="35"/>
      <c r="G50" s="35"/>
      <c r="H50" s="35"/>
      <c r="I50" s="35"/>
      <c r="J50" s="35"/>
      <c r="K50" s="35"/>
      <c r="L50" s="37"/>
      <c r="M50" s="37"/>
    </row>
    <row r="51" spans="1:14" x14ac:dyDescent="0.15">
      <c r="A51" s="38" t="s">
        <v>54</v>
      </c>
      <c r="B51" s="130">
        <f t="shared" ref="B51:M51" si="6">B49+B47+B40</f>
        <v>479.82433916050536</v>
      </c>
      <c r="C51" s="39">
        <f t="shared" si="6"/>
        <v>0</v>
      </c>
      <c r="D51" s="39">
        <f t="shared" si="6"/>
        <v>0</v>
      </c>
      <c r="E51" s="39">
        <f t="shared" si="6"/>
        <v>0.76000000000000068</v>
      </c>
      <c r="F51" s="39">
        <f t="shared" si="6"/>
        <v>169.54324</v>
      </c>
      <c r="G51" s="39">
        <f t="shared" si="6"/>
        <v>169.54324</v>
      </c>
      <c r="H51" s="39">
        <f t="shared" si="6"/>
        <v>169.54324</v>
      </c>
      <c r="I51" s="39">
        <f t="shared" si="6"/>
        <v>0.76</v>
      </c>
      <c r="J51" s="39">
        <f t="shared" si="6"/>
        <v>0</v>
      </c>
      <c r="K51" s="39">
        <f t="shared" si="6"/>
        <v>748.03916927777777</v>
      </c>
      <c r="L51" s="40">
        <f t="shared" si="6"/>
        <v>423.24102076495728</v>
      </c>
      <c r="M51" s="40">
        <f t="shared" si="6"/>
        <v>0</v>
      </c>
    </row>
    <row r="52" spans="1:14" x14ac:dyDescent="0.15">
      <c r="A52" s="11"/>
      <c r="B52" s="129"/>
      <c r="C52" s="35"/>
      <c r="D52" s="35"/>
      <c r="E52" s="35"/>
      <c r="F52" s="35"/>
      <c r="G52" s="35"/>
      <c r="H52" s="35"/>
      <c r="I52" s="35"/>
      <c r="J52" s="35"/>
      <c r="K52" s="35"/>
      <c r="L52" s="37"/>
      <c r="M52" s="37"/>
    </row>
    <row r="53" spans="1:14" x14ac:dyDescent="0.15">
      <c r="A53" s="34" t="s">
        <v>55</v>
      </c>
      <c r="B53" s="129"/>
      <c r="C53" s="35"/>
      <c r="D53" s="35"/>
      <c r="E53" s="35"/>
      <c r="F53" s="35"/>
      <c r="G53" s="35"/>
      <c r="H53" s="35"/>
      <c r="I53" s="35"/>
      <c r="J53" s="35"/>
      <c r="K53" s="35"/>
      <c r="L53" s="37"/>
      <c r="M53" s="37"/>
    </row>
    <row r="54" spans="1:14" x14ac:dyDescent="0.15">
      <c r="A54" s="17" t="s">
        <v>56</v>
      </c>
      <c r="B54" s="129">
        <f>'Salary Info'!$C$28/B7</f>
        <v>54.340782051282055</v>
      </c>
      <c r="C54" s="35"/>
      <c r="D54" s="35"/>
      <c r="E54" s="35"/>
      <c r="F54" s="35"/>
      <c r="G54" s="35"/>
      <c r="H54" s="35"/>
      <c r="I54" s="35"/>
      <c r="J54" s="35"/>
      <c r="K54" s="35">
        <f>'[1]Salary Info'!$C$28/'[1]Formula Weights'!I7</f>
        <v>61.984379487179488</v>
      </c>
      <c r="L54" s="35">
        <f>'[1]Salary Info'!$C$28/'[1]Formula Weights'!T7</f>
        <v>61.984379487179488</v>
      </c>
      <c r="M54" s="37"/>
    </row>
    <row r="55" spans="1:14" x14ac:dyDescent="0.15">
      <c r="A55" s="17" t="s">
        <v>57</v>
      </c>
      <c r="B55" s="129">
        <v>19.536000000000001</v>
      </c>
      <c r="C55" s="35">
        <f>+'[2]Operations Detail'!E40</f>
        <v>0</v>
      </c>
      <c r="D55" s="35">
        <f>+'[2]Operations Detail'!J40</f>
        <v>0</v>
      </c>
      <c r="E55" s="35">
        <f>+'[2]Operations Detail'!K40</f>
        <v>0</v>
      </c>
      <c r="F55" s="35">
        <f>+'[2]Operations Detail'!M40</f>
        <v>0</v>
      </c>
      <c r="G55" s="35">
        <f>+'[2]Operations Detail'!N40</f>
        <v>0</v>
      </c>
      <c r="H55" s="35">
        <f>+'[2]Operations Detail'!O40</f>
        <v>0</v>
      </c>
      <c r="I55" s="35"/>
      <c r="J55" s="35">
        <f>+'[2]Operations Detail'!R40</f>
        <v>0</v>
      </c>
      <c r="K55" s="35">
        <f>+'[2]Operations Detail'!S40</f>
        <v>13.03</v>
      </c>
      <c r="L55" s="35">
        <f>+'[2]Operations Detail'!T40</f>
        <v>13.03</v>
      </c>
      <c r="M55" s="37">
        <f>+'[2]Operations Detail'!U40</f>
        <v>0</v>
      </c>
    </row>
    <row r="56" spans="1:14" x14ac:dyDescent="0.15">
      <c r="A56" s="22" t="s">
        <v>58</v>
      </c>
      <c r="B56" s="130">
        <f t="shared" ref="B56:G56" si="7">B55+B54</f>
        <v>73.876782051282049</v>
      </c>
      <c r="C56" s="39">
        <f>C55+C54</f>
        <v>0</v>
      </c>
      <c r="D56" s="39">
        <f t="shared" si="7"/>
        <v>0</v>
      </c>
      <c r="E56" s="39">
        <f t="shared" si="7"/>
        <v>0</v>
      </c>
      <c r="F56" s="39">
        <f t="shared" si="7"/>
        <v>0</v>
      </c>
      <c r="G56" s="39">
        <f t="shared" si="7"/>
        <v>0</v>
      </c>
      <c r="H56" s="39">
        <f t="shared" ref="H56:M56" si="8">H55+H54</f>
        <v>0</v>
      </c>
      <c r="I56" s="39">
        <f t="shared" si="8"/>
        <v>0</v>
      </c>
      <c r="J56" s="39">
        <f t="shared" si="8"/>
        <v>0</v>
      </c>
      <c r="K56" s="39">
        <f t="shared" si="8"/>
        <v>75.014379487179482</v>
      </c>
      <c r="L56" s="40">
        <f t="shared" si="8"/>
        <v>75.014379487179482</v>
      </c>
      <c r="M56" s="40">
        <f t="shared" si="8"/>
        <v>0</v>
      </c>
    </row>
    <row r="57" spans="1:14" x14ac:dyDescent="0.15">
      <c r="A57" s="17"/>
      <c r="B57" s="129"/>
      <c r="C57" s="35"/>
      <c r="D57" s="35"/>
      <c r="E57" s="35"/>
      <c r="F57" s="35"/>
      <c r="G57" s="35"/>
      <c r="H57" s="35"/>
      <c r="I57" s="35"/>
      <c r="J57" s="35"/>
      <c r="K57" s="35"/>
      <c r="L57" s="37"/>
      <c r="M57" s="37"/>
      <c r="N57" s="42"/>
    </row>
    <row r="58" spans="1:14" x14ac:dyDescent="0.15">
      <c r="A58" s="34" t="s">
        <v>59</v>
      </c>
      <c r="B58" s="129"/>
      <c r="C58" s="35"/>
      <c r="D58" s="35"/>
      <c r="E58" s="35"/>
      <c r="F58" s="35"/>
      <c r="G58" s="35"/>
      <c r="H58" s="35"/>
      <c r="I58" s="35"/>
      <c r="J58" s="35"/>
      <c r="K58" s="35"/>
      <c r="L58" s="35">
        <f>(((('[1]Salary Info'!$C16/15)/190)*20)*0.1)*0.95522162</f>
        <v>26.027780029042482</v>
      </c>
      <c r="M58" s="37"/>
    </row>
    <row r="59" spans="1:14" x14ac:dyDescent="0.15">
      <c r="A59" s="11"/>
      <c r="B59" s="129"/>
      <c r="C59" s="35"/>
      <c r="D59" s="35"/>
      <c r="E59" s="35"/>
      <c r="F59" s="35"/>
      <c r="G59" s="35"/>
      <c r="H59" s="35"/>
      <c r="I59" s="35"/>
      <c r="J59" s="35"/>
      <c r="K59" s="35"/>
      <c r="L59" s="37"/>
      <c r="M59" s="37"/>
      <c r="N59" s="43"/>
    </row>
    <row r="60" spans="1:14" x14ac:dyDescent="0.15">
      <c r="A60" s="34" t="s">
        <v>60</v>
      </c>
      <c r="B60" s="129">
        <f t="shared" ref="B60:L60" si="9">B100*0.01</f>
        <v>14.614370989707142</v>
      </c>
      <c r="C60" s="35">
        <f>C100*0.01</f>
        <v>3.7541449275362324</v>
      </c>
      <c r="D60" s="35">
        <f t="shared" si="9"/>
        <v>2.7853333333333334</v>
      </c>
      <c r="E60" s="35">
        <f t="shared" si="9"/>
        <v>0</v>
      </c>
      <c r="F60" s="35">
        <f t="shared" si="9"/>
        <v>27.853333333333335</v>
      </c>
      <c r="G60" s="35">
        <f t="shared" si="9"/>
        <v>55.302576856649402</v>
      </c>
      <c r="H60" s="35">
        <f t="shared" si="9"/>
        <v>66.847999999999999</v>
      </c>
      <c r="I60" s="35">
        <f t="shared" si="9"/>
        <v>0</v>
      </c>
      <c r="J60" s="35">
        <f t="shared" si="9"/>
        <v>1.9895238095238097</v>
      </c>
      <c r="K60" s="36">
        <f t="shared" si="9"/>
        <v>27.477410722610731</v>
      </c>
      <c r="L60" s="37">
        <f t="shared" si="9"/>
        <v>23.927896192696199</v>
      </c>
      <c r="M60" s="37">
        <f t="shared" ref="M60" si="10">M100*0.01</f>
        <v>0</v>
      </c>
    </row>
    <row r="61" spans="1:14" x14ac:dyDescent="0.15">
      <c r="A61" s="44"/>
      <c r="B61" s="129"/>
      <c r="C61" s="35"/>
      <c r="D61" s="35"/>
      <c r="E61" s="35"/>
      <c r="F61" s="35"/>
      <c r="G61" s="35"/>
      <c r="H61" s="35"/>
      <c r="I61" s="35"/>
      <c r="J61" s="35"/>
      <c r="K61" s="36"/>
      <c r="L61" s="37"/>
      <c r="M61" s="37"/>
    </row>
    <row r="62" spans="1:14" x14ac:dyDescent="0.15">
      <c r="A62" s="45" t="s">
        <v>61</v>
      </c>
      <c r="B62" s="129">
        <v>19.893955629965767</v>
      </c>
      <c r="C62" s="35"/>
      <c r="D62" s="35"/>
      <c r="E62" s="35"/>
      <c r="F62" s="35"/>
      <c r="G62" s="35"/>
      <c r="H62" s="35"/>
      <c r="I62" s="35"/>
      <c r="J62" s="35"/>
      <c r="K62" s="36"/>
      <c r="L62" s="37"/>
      <c r="M62" s="37"/>
    </row>
    <row r="63" spans="1:14" x14ac:dyDescent="0.15">
      <c r="A63" s="44"/>
      <c r="B63" s="129"/>
      <c r="C63" s="35"/>
      <c r="D63" s="35"/>
      <c r="E63" s="35"/>
      <c r="F63" s="35"/>
      <c r="G63" s="35"/>
      <c r="H63" s="35"/>
      <c r="I63" s="35"/>
      <c r="J63" s="35"/>
      <c r="K63" s="36"/>
      <c r="L63" s="37"/>
      <c r="M63" s="37"/>
    </row>
    <row r="64" spans="1:14" x14ac:dyDescent="0.15">
      <c r="A64" s="45" t="s">
        <v>62</v>
      </c>
      <c r="B64" s="129"/>
      <c r="C64" s="35"/>
      <c r="D64" s="35"/>
      <c r="E64" s="35"/>
      <c r="F64" s="35"/>
      <c r="G64" s="35"/>
      <c r="H64" s="35"/>
      <c r="I64" s="35"/>
      <c r="J64" s="35"/>
      <c r="K64" s="36"/>
      <c r="L64" s="37"/>
      <c r="M64" s="37"/>
    </row>
    <row r="65" spans="1:18" x14ac:dyDescent="0.15">
      <c r="A65" s="44"/>
      <c r="B65" s="129"/>
      <c r="C65" s="35"/>
      <c r="D65" s="35"/>
      <c r="E65" s="35"/>
      <c r="F65" s="35"/>
      <c r="G65" s="35"/>
      <c r="H65" s="35"/>
      <c r="I65" s="35"/>
      <c r="J65" s="35"/>
      <c r="K65" s="36"/>
      <c r="L65" s="37"/>
      <c r="M65" s="37"/>
    </row>
    <row r="66" spans="1:18" x14ac:dyDescent="0.15">
      <c r="A66" s="45" t="s">
        <v>63</v>
      </c>
      <c r="B66" s="129">
        <v>75.23</v>
      </c>
      <c r="C66" s="35"/>
      <c r="D66" s="35"/>
      <c r="E66" s="35"/>
      <c r="F66" s="35"/>
      <c r="G66" s="35"/>
      <c r="H66" s="35"/>
      <c r="I66" s="35"/>
      <c r="J66" s="35"/>
      <c r="K66" s="36"/>
      <c r="L66" s="37"/>
      <c r="M66" s="37"/>
    </row>
    <row r="67" spans="1:18" x14ac:dyDescent="0.15">
      <c r="A67" s="44"/>
      <c r="B67" s="130"/>
      <c r="C67" s="39"/>
      <c r="D67" s="39"/>
      <c r="E67" s="39"/>
      <c r="F67" s="39"/>
      <c r="G67" s="39"/>
      <c r="H67" s="39"/>
      <c r="I67" s="39"/>
      <c r="J67" s="39"/>
      <c r="K67" s="39"/>
      <c r="L67" s="40"/>
      <c r="M67" s="40"/>
      <c r="N67" s="46"/>
    </row>
    <row r="68" spans="1:18" x14ac:dyDescent="0.15">
      <c r="A68" s="11"/>
      <c r="B68" s="129"/>
      <c r="C68" s="35"/>
      <c r="D68" s="35"/>
      <c r="E68" s="35"/>
      <c r="F68" s="35"/>
      <c r="G68" s="35"/>
      <c r="H68" s="35"/>
      <c r="I68" s="35"/>
      <c r="J68" s="35"/>
      <c r="K68" s="35"/>
      <c r="L68" s="37"/>
      <c r="M68" s="37"/>
    </row>
    <row r="69" spans="1:18" x14ac:dyDescent="0.15">
      <c r="A69" s="38" t="s">
        <v>138</v>
      </c>
      <c r="B69" s="132">
        <f>B30+B51+B56+B58+B60+B62+B66+B64</f>
        <v>2046.6896411624859</v>
      </c>
      <c r="C69" s="47">
        <f t="shared" ref="C69:L69" si="11">C30+C51+C56+C58+C60+C67</f>
        <v>543.97585636070846</v>
      </c>
      <c r="D69" s="48">
        <f t="shared" si="11"/>
        <v>383.90428571428566</v>
      </c>
      <c r="E69" s="47">
        <f t="shared" si="11"/>
        <v>216.45471999999995</v>
      </c>
      <c r="F69" s="47">
        <f t="shared" si="11"/>
        <v>3102.7000400000002</v>
      </c>
      <c r="G69" s="47">
        <f t="shared" si="11"/>
        <v>6003.5588118134719</v>
      </c>
      <c r="H69" s="47">
        <f t="shared" si="11"/>
        <v>7400.1274800000001</v>
      </c>
      <c r="I69" s="166">
        <f t="shared" si="11"/>
        <v>216.45471210325894</v>
      </c>
      <c r="J69" s="47">
        <f t="shared" si="11"/>
        <v>214.29207142857143</v>
      </c>
      <c r="K69" s="47">
        <f t="shared" si="11"/>
        <v>3630.619867043124</v>
      </c>
      <c r="L69" s="49">
        <f t="shared" si="11"/>
        <v>3229.3611568548281</v>
      </c>
      <c r="M69" s="49">
        <f>+B69*M18</f>
        <v>511.67241029062149</v>
      </c>
    </row>
    <row r="70" spans="1:18" x14ac:dyDescent="0.15">
      <c r="A70" s="50"/>
      <c r="B70" s="52"/>
      <c r="C70" s="52"/>
      <c r="D70" s="52"/>
      <c r="E70" s="51"/>
      <c r="F70" s="52"/>
      <c r="G70" s="52"/>
      <c r="H70" s="52"/>
      <c r="I70" s="53"/>
      <c r="J70" s="53"/>
      <c r="K70" s="54"/>
      <c r="L70" s="53"/>
      <c r="M70" s="53"/>
      <c r="R70" s="55"/>
    </row>
    <row r="71" spans="1:18" x14ac:dyDescent="0.15">
      <c r="A71" s="50" t="s">
        <v>139</v>
      </c>
      <c r="B71" s="56">
        <f t="shared" ref="B71:M71" si="12">+B4</f>
        <v>1697497</v>
      </c>
      <c r="C71" s="56">
        <f t="shared" si="12"/>
        <v>542483</v>
      </c>
      <c r="D71" s="56">
        <f t="shared" si="12"/>
        <v>501050</v>
      </c>
      <c r="E71" s="56">
        <f t="shared" si="12"/>
        <v>272354</v>
      </c>
      <c r="F71" s="56">
        <f t="shared" si="12"/>
        <v>115373</v>
      </c>
      <c r="G71" s="56">
        <f t="shared" si="12"/>
        <v>32474</v>
      </c>
      <c r="H71" s="56">
        <f t="shared" si="12"/>
        <v>25900</v>
      </c>
      <c r="I71" s="56">
        <f t="shared" si="12"/>
        <v>177878</v>
      </c>
      <c r="J71" s="56">
        <f t="shared" si="12"/>
        <v>127868</v>
      </c>
      <c r="K71" s="56">
        <f t="shared" si="12"/>
        <v>19754</v>
      </c>
      <c r="L71" s="56">
        <f t="shared" si="12"/>
        <v>20552</v>
      </c>
      <c r="M71" s="56">
        <f t="shared" si="12"/>
        <v>529226</v>
      </c>
      <c r="N71" s="42"/>
    </row>
    <row r="72" spans="1:18" x14ac:dyDescent="0.15">
      <c r="A72" s="50" t="s">
        <v>65</v>
      </c>
      <c r="B72" s="56">
        <f t="shared" ref="B72:L72" si="13">B69*B4</f>
        <v>3474249525.8043966</v>
      </c>
      <c r="C72" s="56">
        <f t="shared" si="13"/>
        <v>295097654.48612618</v>
      </c>
      <c r="D72" s="56">
        <f t="shared" si="13"/>
        <v>192355242.35714284</v>
      </c>
      <c r="E72" s="56">
        <f t="shared" si="13"/>
        <v>58952308.81087999</v>
      </c>
      <c r="F72" s="56">
        <f t="shared" si="13"/>
        <v>357967811.71492004</v>
      </c>
      <c r="G72" s="56">
        <f t="shared" si="13"/>
        <v>194959568.85483068</v>
      </c>
      <c r="H72" s="56">
        <f t="shared" si="13"/>
        <v>191663301.73199999</v>
      </c>
      <c r="I72" s="56">
        <f t="shared" si="13"/>
        <v>38502531.279503495</v>
      </c>
      <c r="J72" s="56">
        <f t="shared" si="13"/>
        <v>27401098.58942857</v>
      </c>
      <c r="K72" s="56">
        <f t="shared" si="13"/>
        <v>71719264.853569865</v>
      </c>
      <c r="L72" s="56">
        <f t="shared" si="13"/>
        <v>66369830.495680429</v>
      </c>
      <c r="M72" s="56">
        <f>+M69*M71</f>
        <v>270790343.00846446</v>
      </c>
      <c r="N72" s="42"/>
    </row>
    <row r="73" spans="1:18" x14ac:dyDescent="0.15">
      <c r="A73" s="50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</row>
    <row r="74" spans="1:18" x14ac:dyDescent="0.15">
      <c r="B74" s="55"/>
      <c r="C74" s="55"/>
      <c r="D74" s="55"/>
      <c r="E74" s="55"/>
      <c r="F74" s="55"/>
      <c r="G74" s="55"/>
      <c r="H74" s="55"/>
      <c r="I74" s="57"/>
      <c r="J74" s="58"/>
      <c r="K74" s="59"/>
      <c r="L74" s="60">
        <f>SUM(B72:L72)</f>
        <v>4969238138.9784803</v>
      </c>
      <c r="M74" s="57"/>
    </row>
    <row r="75" spans="1:18" x14ac:dyDescent="0.15">
      <c r="B75" s="55"/>
      <c r="C75" s="55"/>
      <c r="D75" s="55"/>
      <c r="E75" s="55"/>
      <c r="F75" s="55"/>
      <c r="G75" s="55"/>
      <c r="H75" s="55"/>
      <c r="I75" s="57"/>
      <c r="J75" s="58"/>
      <c r="K75" s="61">
        <f>L75</f>
        <v>2445069228.1700006</v>
      </c>
      <c r="L75" s="62">
        <f>+'[1]teach 16'!E2196</f>
        <v>2445069228.1700006</v>
      </c>
      <c r="M75" s="57"/>
      <c r="N75" s="42"/>
    </row>
    <row r="76" spans="1:18" x14ac:dyDescent="0.15">
      <c r="B76" s="55"/>
      <c r="C76" s="55"/>
      <c r="D76" s="55"/>
      <c r="E76" s="55"/>
      <c r="F76" s="55"/>
      <c r="G76" s="55"/>
      <c r="H76" s="55"/>
      <c r="I76" s="57"/>
      <c r="J76" s="58"/>
      <c r="K76" s="61">
        <f>+[1]supts.!M214</f>
        <v>24942140.620399732</v>
      </c>
      <c r="L76" s="62">
        <f>+[1]supts.!K214</f>
        <v>41516321.399999984</v>
      </c>
      <c r="M76" s="57"/>
    </row>
    <row r="77" spans="1:18" x14ac:dyDescent="0.15">
      <c r="B77" s="55"/>
      <c r="C77" s="55"/>
      <c r="D77" s="55"/>
      <c r="E77" s="55"/>
      <c r="F77" s="55"/>
      <c r="G77" s="55"/>
      <c r="H77" s="55"/>
      <c r="I77" s="57"/>
      <c r="J77" s="58"/>
      <c r="K77" s="61">
        <f>+[1]principals!H210</f>
        <v>74849132.449946061</v>
      </c>
      <c r="L77" s="62">
        <f>+[1]principals!G210</f>
        <v>105127483.5</v>
      </c>
      <c r="M77" s="57"/>
      <c r="N77" s="42"/>
    </row>
    <row r="78" spans="1:18" x14ac:dyDescent="0.15">
      <c r="B78" s="55"/>
      <c r="C78" s="55"/>
      <c r="D78" s="55"/>
      <c r="E78" s="55"/>
      <c r="F78" s="55"/>
      <c r="G78" s="55"/>
      <c r="H78" s="55"/>
      <c r="I78" s="57"/>
      <c r="J78" s="58"/>
      <c r="K78" s="58"/>
      <c r="L78" s="62">
        <f>+'[1]sped-itin '!AH215+'[1]ssupp spch'!E212</f>
        <v>6440606.6580328289</v>
      </c>
      <c r="M78" s="57"/>
    </row>
    <row r="79" spans="1:18" x14ac:dyDescent="0.15">
      <c r="B79" s="55"/>
      <c r="C79" s="55"/>
      <c r="D79" s="55"/>
      <c r="E79" s="55"/>
      <c r="F79" s="55"/>
      <c r="G79" s="55"/>
      <c r="H79" s="55"/>
      <c r="I79" s="57"/>
      <c r="J79" s="58"/>
      <c r="K79" s="58"/>
      <c r="L79" s="62"/>
      <c r="M79" s="57"/>
    </row>
    <row r="80" spans="1:18" x14ac:dyDescent="0.15">
      <c r="B80" s="55"/>
      <c r="C80" s="55"/>
      <c r="D80" s="55"/>
      <c r="E80" s="55"/>
      <c r="F80" s="55"/>
      <c r="G80" s="55"/>
      <c r="H80" s="55"/>
      <c r="I80" s="57"/>
      <c r="J80" s="58"/>
      <c r="K80" s="61"/>
      <c r="L80" s="63">
        <f>+'[1]SHBP Participation Rate'!J201</f>
        <v>1099617120</v>
      </c>
      <c r="M80" s="57"/>
    </row>
    <row r="81" spans="1:14" x14ac:dyDescent="0.15">
      <c r="B81" s="55"/>
      <c r="C81" s="55"/>
      <c r="D81" s="55"/>
      <c r="E81" s="55"/>
      <c r="F81" s="55"/>
      <c r="G81" s="55"/>
      <c r="H81" s="55"/>
      <c r="I81" s="64"/>
      <c r="J81" s="58"/>
      <c r="K81" s="65">
        <f>SUM(K75:K79)</f>
        <v>2544860501.2403464</v>
      </c>
      <c r="L81" s="66">
        <f>SUM(L74:L80)</f>
        <v>8667008898.7065125</v>
      </c>
      <c r="M81" s="64"/>
    </row>
    <row r="82" spans="1:14" x14ac:dyDescent="0.15">
      <c r="B82" s="67"/>
      <c r="C82" s="67"/>
      <c r="D82" s="67"/>
      <c r="E82" s="67"/>
      <c r="F82" s="67"/>
      <c r="G82" s="67"/>
      <c r="H82" s="67"/>
      <c r="I82" s="68"/>
      <c r="J82" s="68"/>
      <c r="K82" s="68"/>
      <c r="L82" s="68"/>
      <c r="M82" s="68"/>
      <c r="N82" s="42"/>
    </row>
    <row r="83" spans="1:14" x14ac:dyDescent="0.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42"/>
    </row>
    <row r="84" spans="1:14" x14ac:dyDescent="0.15">
      <c r="B84" s="55"/>
      <c r="C84" s="55"/>
      <c r="D84" s="55"/>
      <c r="E84" s="55"/>
      <c r="F84" s="55"/>
      <c r="G84" s="55"/>
      <c r="H84" s="55"/>
      <c r="I84" s="64"/>
      <c r="J84" s="58"/>
      <c r="K84" s="61"/>
      <c r="L84" s="69"/>
      <c r="M84" s="64"/>
      <c r="N84" s="42"/>
    </row>
    <row r="85" spans="1:14" x14ac:dyDescent="0.15">
      <c r="A85" s="70" t="s">
        <v>66</v>
      </c>
      <c r="B85" s="70" t="s">
        <v>66</v>
      </c>
      <c r="C85" s="70" t="s">
        <v>66</v>
      </c>
      <c r="D85" s="70" t="s">
        <v>66</v>
      </c>
      <c r="E85" s="70" t="s">
        <v>66</v>
      </c>
      <c r="F85" s="70" t="s">
        <v>66</v>
      </c>
      <c r="G85" s="70" t="s">
        <v>66</v>
      </c>
      <c r="H85" s="70" t="s">
        <v>66</v>
      </c>
      <c r="I85" s="70" t="s">
        <v>66</v>
      </c>
      <c r="J85" s="70" t="s">
        <v>66</v>
      </c>
      <c r="K85" s="70" t="s">
        <v>66</v>
      </c>
      <c r="L85" s="70" t="s">
        <v>66</v>
      </c>
      <c r="M85" s="70"/>
    </row>
    <row r="86" spans="1:14" x14ac:dyDescent="0.15">
      <c r="A86" s="71"/>
      <c r="B86" s="3" t="s">
        <v>1</v>
      </c>
      <c r="C86" s="3" t="s">
        <v>0</v>
      </c>
      <c r="D86" s="3" t="s">
        <v>0</v>
      </c>
      <c r="E86" s="3" t="s">
        <v>2</v>
      </c>
      <c r="F86" s="4" t="s">
        <v>3</v>
      </c>
      <c r="G86" s="5"/>
      <c r="H86" s="5"/>
      <c r="I86" s="1"/>
      <c r="J86" s="2" t="s">
        <v>4</v>
      </c>
      <c r="K86" s="2" t="s">
        <v>5</v>
      </c>
      <c r="L86" s="6"/>
      <c r="M86" s="1"/>
    </row>
    <row r="87" spans="1:14" x14ac:dyDescent="0.15">
      <c r="A87" s="11"/>
      <c r="B87" s="9" t="s">
        <v>8</v>
      </c>
      <c r="C87" s="9" t="s">
        <v>7</v>
      </c>
      <c r="D87" s="9" t="s">
        <v>9</v>
      </c>
      <c r="E87" s="9" t="s">
        <v>10</v>
      </c>
      <c r="F87" s="9" t="s">
        <v>11</v>
      </c>
      <c r="G87" s="9" t="s">
        <v>12</v>
      </c>
      <c r="H87" s="9" t="s">
        <v>13</v>
      </c>
      <c r="I87" s="8" t="s">
        <v>14</v>
      </c>
      <c r="J87" s="8" t="s">
        <v>15</v>
      </c>
      <c r="K87" s="8" t="s">
        <v>16</v>
      </c>
      <c r="L87" s="10" t="s">
        <v>17</v>
      </c>
      <c r="M87" s="8"/>
    </row>
    <row r="88" spans="1:14" x14ac:dyDescent="0.15">
      <c r="A88" s="45" t="s">
        <v>67</v>
      </c>
      <c r="B88" s="12"/>
      <c r="C88" s="12"/>
      <c r="D88" s="12"/>
      <c r="E88" s="12"/>
      <c r="F88" s="12"/>
      <c r="G88" s="12"/>
      <c r="H88" s="12"/>
      <c r="I88" s="11"/>
      <c r="J88" s="11"/>
      <c r="K88" s="11"/>
      <c r="L88" s="11"/>
      <c r="M88" s="11"/>
    </row>
    <row r="89" spans="1:14" x14ac:dyDescent="0.15">
      <c r="A89" s="17" t="s">
        <v>68</v>
      </c>
      <c r="B89" s="72">
        <f>+'Salary Info'!$C$10/B8</f>
        <v>1154.5423143350604</v>
      </c>
      <c r="C89" s="72">
        <f>+'Salary Info'!$C$10/C8</f>
        <v>278.53333333333336</v>
      </c>
      <c r="D89" s="72">
        <f>+'Salary Info'!$C$10/D8</f>
        <v>278.53333333333336</v>
      </c>
      <c r="E89" s="72"/>
      <c r="F89" s="72">
        <f>+'Salary Info'!$C$10/F8</f>
        <v>2785.3333333333335</v>
      </c>
      <c r="G89" s="72">
        <f>+'Salary Info'!$C$10/G8</f>
        <v>5530.2576856649403</v>
      </c>
      <c r="H89" s="72">
        <f>+'Salary Info'!$C$10/H8</f>
        <v>6684.8</v>
      </c>
      <c r="I89" s="72"/>
      <c r="J89" s="72">
        <f>+'Salary Info'!$C$10/J8</f>
        <v>198.95238095238096</v>
      </c>
      <c r="K89" s="35">
        <f>+'[1]Salary Info'!$C$10/'[1]Formula Weights'!S8</f>
        <v>2228.2666666666669</v>
      </c>
      <c r="L89" s="35">
        <f>+'[1]Salary Info'!$C$10/'[1]Formula Weights'!T8</f>
        <v>2228.2666666666669</v>
      </c>
      <c r="M89" s="35"/>
    </row>
    <row r="90" spans="1:14" x14ac:dyDescent="0.15">
      <c r="A90" s="17" t="s">
        <v>69</v>
      </c>
      <c r="B90" s="74">
        <f>+'Salary Info'!$C24/B14</f>
        <v>13.504646464646465</v>
      </c>
      <c r="C90" s="74"/>
      <c r="D90" s="74"/>
      <c r="E90" s="74"/>
      <c r="F90" s="74"/>
      <c r="G90" s="74"/>
      <c r="H90" s="74"/>
      <c r="I90" s="73"/>
      <c r="J90" s="73"/>
      <c r="K90" s="73">
        <f>+'[1]Salary Info'!$C24/'[1]Formula Weights'!S14</f>
        <v>13.504646464646465</v>
      </c>
      <c r="L90" s="73">
        <f>+'[1]Salary Info'!$C24/'[1]Formula Weights'!T14</f>
        <v>13.504646464646465</v>
      </c>
      <c r="M90" s="73"/>
    </row>
    <row r="91" spans="1:14" x14ac:dyDescent="0.15">
      <c r="A91" s="17" t="s">
        <v>44</v>
      </c>
      <c r="B91" s="76"/>
      <c r="C91" s="76"/>
      <c r="D91" s="76"/>
      <c r="E91" s="76"/>
      <c r="F91" s="76"/>
      <c r="G91" s="76"/>
      <c r="H91" s="76"/>
      <c r="I91" s="77"/>
      <c r="J91" s="75"/>
      <c r="K91" s="75"/>
      <c r="L91" s="75"/>
      <c r="M91" s="77"/>
    </row>
    <row r="92" spans="1:14" x14ac:dyDescent="0.15">
      <c r="A92" s="17" t="s">
        <v>45</v>
      </c>
      <c r="B92" s="74">
        <f>+'Salary Info'!$C$24/B13</f>
        <v>13.504646464646465</v>
      </c>
      <c r="C92" s="74"/>
      <c r="D92" s="74"/>
      <c r="E92" s="74"/>
      <c r="F92" s="74"/>
      <c r="G92" s="74"/>
      <c r="H92" s="74"/>
      <c r="I92" s="73"/>
      <c r="J92" s="73"/>
      <c r="K92" s="73">
        <f>+'[1]Salary Info'!$C$24/'[1]Formula Weights'!S13</f>
        <v>13.504646464646465</v>
      </c>
      <c r="L92" s="73">
        <f>+'[1]Salary Info'!$C$24/'[1]Formula Weights'!T13</f>
        <v>13.504646464646465</v>
      </c>
      <c r="M92" s="73"/>
    </row>
    <row r="93" spans="1:14" x14ac:dyDescent="0.15">
      <c r="A93" s="17" t="s">
        <v>49</v>
      </c>
      <c r="B93" s="74">
        <f>+B94</f>
        <v>53.564102564102562</v>
      </c>
      <c r="C93" s="74"/>
      <c r="D93" s="74"/>
      <c r="E93" s="74"/>
      <c r="F93" s="74"/>
      <c r="G93" s="74"/>
      <c r="H93" s="74"/>
      <c r="I93" s="78"/>
      <c r="J93" s="78"/>
      <c r="K93" s="78"/>
      <c r="L93" s="78"/>
      <c r="M93" s="78"/>
    </row>
    <row r="94" spans="1:14" x14ac:dyDescent="0.15">
      <c r="A94" s="17" t="s">
        <v>70</v>
      </c>
      <c r="B94" s="74">
        <f>('Salary Info'!$C24*1)/B7</f>
        <v>53.564102564102562</v>
      </c>
      <c r="C94" s="74"/>
      <c r="D94" s="74"/>
      <c r="E94" s="74"/>
      <c r="F94" s="74"/>
      <c r="G94" s="74"/>
      <c r="H94" s="74"/>
      <c r="I94" s="73"/>
      <c r="J94" s="73"/>
      <c r="K94" s="79">
        <f>('[1]Salary Info'!$C24*1)/K7</f>
        <v>334.24</v>
      </c>
      <c r="L94" s="73">
        <f>('[1]Salary Info'!$C24*1)/L7</f>
        <v>53.564102564102562</v>
      </c>
      <c r="M94" s="73"/>
    </row>
    <row r="95" spans="1:14" x14ac:dyDescent="0.15">
      <c r="A95" s="17" t="s">
        <v>71</v>
      </c>
      <c r="B95" s="80">
        <f>'Salary Info'!$C10/B9</f>
        <v>14.532173913043477</v>
      </c>
      <c r="C95" s="80">
        <f>'Salary Info'!$C10/C9</f>
        <v>96.881159420289862</v>
      </c>
      <c r="D95" s="80"/>
      <c r="E95" s="80"/>
      <c r="F95" s="80"/>
      <c r="G95" s="80"/>
      <c r="H95" s="80"/>
      <c r="I95" s="75"/>
      <c r="J95" s="75"/>
      <c r="K95" s="75"/>
      <c r="L95" s="75"/>
      <c r="M95" s="75"/>
    </row>
    <row r="96" spans="1:14" x14ac:dyDescent="0.15">
      <c r="A96" s="17" t="s">
        <v>72</v>
      </c>
      <c r="B96" s="74">
        <f>'Salary Info'!$C10/B12</f>
        <v>74.275555555555556</v>
      </c>
      <c r="C96" s="74"/>
      <c r="D96" s="74"/>
      <c r="E96" s="74"/>
      <c r="F96" s="74"/>
      <c r="G96" s="74"/>
      <c r="H96" s="74"/>
      <c r="I96" s="73"/>
      <c r="J96" s="73"/>
      <c r="K96" s="73">
        <f>'[1]Salary Info'!$C10/'[1]Formula Weights'!S12</f>
        <v>74.275555555555556</v>
      </c>
      <c r="L96" s="73"/>
      <c r="M96" s="73"/>
    </row>
    <row r="97" spans="1:13" x14ac:dyDescent="0.15">
      <c r="A97" s="17" t="s">
        <v>73</v>
      </c>
      <c r="B97" s="74">
        <f>'Salary Info'!$C10/B7</f>
        <v>53.564102564102562</v>
      </c>
      <c r="C97" s="74"/>
      <c r="D97" s="74"/>
      <c r="E97" s="74"/>
      <c r="F97" s="74"/>
      <c r="G97" s="74"/>
      <c r="H97" s="74"/>
      <c r="I97" s="73"/>
      <c r="J97" s="73"/>
      <c r="K97" s="73">
        <f>'[1]Salary Info'!$C10/'[1]Formula Weights'!I7</f>
        <v>53.564102564102562</v>
      </c>
      <c r="L97" s="73">
        <f>'[1]Salary Info'!$C10/'[1]Formula Weights'!T7</f>
        <v>53.564102564102562</v>
      </c>
      <c r="M97" s="73"/>
    </row>
    <row r="98" spans="1:13" x14ac:dyDescent="0.15">
      <c r="A98" s="17" t="s">
        <v>74</v>
      </c>
      <c r="B98" s="74"/>
      <c r="C98" s="74"/>
      <c r="D98" s="74"/>
      <c r="E98" s="74"/>
      <c r="F98" s="74"/>
      <c r="G98" s="74"/>
      <c r="H98" s="74"/>
      <c r="I98" s="73"/>
      <c r="J98" s="73"/>
      <c r="K98" s="73"/>
      <c r="L98" s="73"/>
      <c r="M98" s="73"/>
    </row>
    <row r="99" spans="1:13" x14ac:dyDescent="0.15">
      <c r="A99" s="17" t="s">
        <v>75</v>
      </c>
      <c r="B99" s="74">
        <f>'Salary Info'!$C24/B15</f>
        <v>30.385454545454547</v>
      </c>
      <c r="C99" s="74"/>
      <c r="D99" s="74"/>
      <c r="E99" s="74"/>
      <c r="F99" s="74"/>
      <c r="G99" s="74"/>
      <c r="H99" s="74"/>
      <c r="I99" s="73"/>
      <c r="J99" s="73"/>
      <c r="K99" s="73">
        <f>'[1]Salary Info'!$C24/'[1]Formula Weights'!S15</f>
        <v>30.385454545454547</v>
      </c>
      <c r="L99" s="73">
        <f>'[1]Salary Info'!$C24/'[1]Formula Weights'!T15</f>
        <v>30.385454545454547</v>
      </c>
      <c r="M99" s="73"/>
    </row>
    <row r="100" spans="1:13" x14ac:dyDescent="0.15">
      <c r="A100" s="22" t="s">
        <v>18</v>
      </c>
      <c r="B100" s="81">
        <f t="shared" ref="B100:L100" si="14">SUM(B89:B99)</f>
        <v>1461.4370989707143</v>
      </c>
      <c r="C100" s="81">
        <f>SUM(C89:C99)</f>
        <v>375.41449275362322</v>
      </c>
      <c r="D100" s="81">
        <f t="shared" si="14"/>
        <v>278.53333333333336</v>
      </c>
      <c r="E100" s="81">
        <f t="shared" si="14"/>
        <v>0</v>
      </c>
      <c r="F100" s="81">
        <f t="shared" si="14"/>
        <v>2785.3333333333335</v>
      </c>
      <c r="G100" s="81">
        <f t="shared" si="14"/>
        <v>5530.2576856649403</v>
      </c>
      <c r="H100" s="81">
        <f t="shared" si="14"/>
        <v>6684.8</v>
      </c>
      <c r="I100" s="39">
        <f t="shared" si="14"/>
        <v>0</v>
      </c>
      <c r="J100" s="39">
        <f t="shared" si="14"/>
        <v>198.95238095238096</v>
      </c>
      <c r="K100" s="39">
        <f t="shared" si="14"/>
        <v>2747.741072261073</v>
      </c>
      <c r="L100" s="39">
        <f t="shared" si="14"/>
        <v>2392.7896192696198</v>
      </c>
      <c r="M100" s="39"/>
    </row>
    <row r="103" spans="1:13" x14ac:dyDescent="0.15">
      <c r="A103" s="71"/>
      <c r="B103" s="82" t="s">
        <v>77</v>
      </c>
      <c r="C103" s="82"/>
      <c r="D103" s="82"/>
      <c r="E103" s="82"/>
      <c r="F103" s="82"/>
      <c r="G103" s="82"/>
      <c r="H103" s="82"/>
      <c r="I103" s="82"/>
      <c r="J103" s="82" t="s">
        <v>4</v>
      </c>
      <c r="K103" s="82"/>
      <c r="L103" s="83"/>
      <c r="M103" s="82"/>
    </row>
    <row r="104" spans="1:13" x14ac:dyDescent="0.15">
      <c r="A104" s="11"/>
      <c r="B104" s="84" t="s">
        <v>78</v>
      </c>
      <c r="C104" s="84" t="s">
        <v>76</v>
      </c>
      <c r="D104" s="84" t="s">
        <v>9</v>
      </c>
      <c r="E104" s="84" t="s">
        <v>79</v>
      </c>
      <c r="F104" s="84" t="s">
        <v>80</v>
      </c>
      <c r="G104" s="84" t="s">
        <v>81</v>
      </c>
      <c r="H104" s="84" t="s">
        <v>82</v>
      </c>
      <c r="I104" s="84" t="s">
        <v>14</v>
      </c>
      <c r="J104" s="84" t="s">
        <v>15</v>
      </c>
      <c r="K104" s="84" t="s">
        <v>83</v>
      </c>
      <c r="L104" s="85" t="s">
        <v>17</v>
      </c>
      <c r="M104" s="84"/>
    </row>
    <row r="106" spans="1:13" x14ac:dyDescent="0.15">
      <c r="A106" s="14" t="s">
        <v>84</v>
      </c>
      <c r="B106" s="14">
        <v>24.484285714285715</v>
      </c>
      <c r="C106" s="14">
        <v>33.258857142857138</v>
      </c>
      <c r="D106" s="14">
        <v>40.268571428571427</v>
      </c>
      <c r="E106" s="14">
        <v>9.56</v>
      </c>
      <c r="F106" s="14">
        <v>18.344571428571427</v>
      </c>
      <c r="G106" s="14">
        <v>14.823142857142855</v>
      </c>
      <c r="H106" s="14">
        <v>33.300285714285707</v>
      </c>
      <c r="I106" s="14">
        <v>7.5234285714285702</v>
      </c>
      <c r="J106" s="14">
        <v>6.1</v>
      </c>
      <c r="K106" s="14">
        <v>24.49</v>
      </c>
      <c r="L106" s="14">
        <v>6.0982857142857139</v>
      </c>
    </row>
    <row r="107" spans="1:13" s="43" customFormat="1" x14ac:dyDescent="0.15">
      <c r="B107" s="43">
        <f t="shared" ref="B107:L107" si="15">B106*B4</f>
        <v>41562001.547142856</v>
      </c>
      <c r="C107" s="43">
        <f t="shared" si="15"/>
        <v>18042364.599428568</v>
      </c>
      <c r="D107" s="43">
        <f t="shared" si="15"/>
        <v>20176567.714285713</v>
      </c>
      <c r="E107" s="43">
        <f t="shared" si="15"/>
        <v>2603704.2400000002</v>
      </c>
      <c r="F107" s="43">
        <f t="shared" si="15"/>
        <v>2116468.2394285714</v>
      </c>
      <c r="G107" s="43">
        <f t="shared" si="15"/>
        <v>481366.74114285706</v>
      </c>
      <c r="H107" s="43">
        <f t="shared" si="15"/>
        <v>862477.39999999979</v>
      </c>
      <c r="I107" s="43">
        <f t="shared" si="15"/>
        <v>1338252.4274285713</v>
      </c>
      <c r="J107" s="43">
        <f t="shared" si="15"/>
        <v>779994.79999999993</v>
      </c>
      <c r="K107" s="43">
        <f t="shared" si="15"/>
        <v>483775.45999999996</v>
      </c>
      <c r="L107" s="43">
        <f t="shared" si="15"/>
        <v>125331.96799999999</v>
      </c>
    </row>
    <row r="109" spans="1:13" x14ac:dyDescent="0.15">
      <c r="L109" s="86">
        <f>SUM(B107:L107)</f>
        <v>88572305.136857122</v>
      </c>
    </row>
    <row r="116" spans="1:13" x14ac:dyDescent="0.15">
      <c r="A116" s="34" t="s">
        <v>32</v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87"/>
      <c r="M116" s="71"/>
    </row>
    <row r="117" spans="1:13" x14ac:dyDescent="0.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3"/>
      <c r="M117" s="11"/>
    </row>
    <row r="118" spans="1:13" x14ac:dyDescent="0.15">
      <c r="A118" s="17" t="s">
        <v>33</v>
      </c>
      <c r="B118" s="88">
        <f t="shared" ref="B118:L118" si="16">+B24*B$4</f>
        <v>1997045001.8672194</v>
      </c>
      <c r="C118" s="88">
        <f t="shared" si="16"/>
        <v>153968646.19153333</v>
      </c>
      <c r="D118" s="88">
        <f t="shared" si="16"/>
        <v>142209046.50333333</v>
      </c>
      <c r="E118" s="88">
        <f t="shared" si="16"/>
        <v>0</v>
      </c>
      <c r="F118" s="88">
        <f t="shared" si="16"/>
        <v>327454032.97533333</v>
      </c>
      <c r="G118" s="88">
        <f t="shared" si="16"/>
        <v>182999598.04414788</v>
      </c>
      <c r="H118" s="88">
        <f t="shared" si="16"/>
        <v>176423796.64000002</v>
      </c>
      <c r="I118" s="88">
        <f t="shared" si="16"/>
        <v>38367343.999503493</v>
      </c>
      <c r="J118" s="88">
        <f t="shared" si="16"/>
        <v>25922685.728952382</v>
      </c>
      <c r="K118" s="88">
        <f t="shared" si="16"/>
        <v>51134220.387413338</v>
      </c>
      <c r="L118" s="89">
        <f t="shared" si="16"/>
        <v>53199883.436373338</v>
      </c>
      <c r="M118" s="88"/>
    </row>
    <row r="119" spans="1:13" x14ac:dyDescent="0.15">
      <c r="A119" s="17" t="s">
        <v>34</v>
      </c>
      <c r="B119" s="88">
        <f t="shared" ref="B119:L119" si="17">+B25*B$4</f>
        <v>0</v>
      </c>
      <c r="C119" s="88">
        <f t="shared" si="17"/>
        <v>85538136.773074061</v>
      </c>
      <c r="D119" s="88">
        <f t="shared" si="17"/>
        <v>0</v>
      </c>
      <c r="E119" s="88">
        <f t="shared" si="17"/>
        <v>0</v>
      </c>
      <c r="F119" s="88">
        <f t="shared" si="17"/>
        <v>0</v>
      </c>
      <c r="G119" s="88">
        <f t="shared" si="17"/>
        <v>0</v>
      </c>
      <c r="H119" s="88">
        <f t="shared" si="17"/>
        <v>0</v>
      </c>
      <c r="I119" s="88">
        <f t="shared" si="17"/>
        <v>0</v>
      </c>
      <c r="J119" s="88">
        <f t="shared" si="17"/>
        <v>0</v>
      </c>
      <c r="K119" s="88">
        <f t="shared" si="17"/>
        <v>0</v>
      </c>
      <c r="L119" s="89">
        <f t="shared" si="17"/>
        <v>0</v>
      </c>
      <c r="M119" s="88"/>
    </row>
    <row r="120" spans="1:13" x14ac:dyDescent="0.15">
      <c r="A120" s="17" t="s">
        <v>35</v>
      </c>
      <c r="B120" s="88">
        <f t="shared" ref="B120:L120" si="18">+B26*B$4</f>
        <v>127910729.45345777</v>
      </c>
      <c r="C120" s="88">
        <f t="shared" si="18"/>
        <v>0</v>
      </c>
      <c r="D120" s="88">
        <f t="shared" si="18"/>
        <v>0</v>
      </c>
      <c r="E120" s="88">
        <f t="shared" si="18"/>
        <v>0</v>
      </c>
      <c r="F120" s="88">
        <f t="shared" si="18"/>
        <v>0</v>
      </c>
      <c r="G120" s="88">
        <f t="shared" si="18"/>
        <v>0</v>
      </c>
      <c r="H120" s="88">
        <f t="shared" si="18"/>
        <v>0</v>
      </c>
      <c r="I120" s="88">
        <f t="shared" si="18"/>
        <v>0</v>
      </c>
      <c r="J120" s="88">
        <f t="shared" si="18"/>
        <v>0</v>
      </c>
      <c r="K120" s="88">
        <f t="shared" si="18"/>
        <v>1697889.3462471112</v>
      </c>
      <c r="L120" s="89">
        <f t="shared" si="18"/>
        <v>0</v>
      </c>
      <c r="M120" s="88"/>
    </row>
    <row r="121" spans="1:13" x14ac:dyDescent="0.15">
      <c r="A121" s="17" t="s">
        <v>36</v>
      </c>
      <c r="B121" s="88">
        <f t="shared" ref="B121:L121" si="19">+B27*B$4</f>
        <v>25136718.61045913</v>
      </c>
      <c r="C121" s="88">
        <f t="shared" si="19"/>
        <v>53554311.718794204</v>
      </c>
      <c r="D121" s="88">
        <f t="shared" si="19"/>
        <v>0</v>
      </c>
      <c r="E121" s="88">
        <f t="shared" si="19"/>
        <v>0</v>
      </c>
      <c r="F121" s="88">
        <f t="shared" si="19"/>
        <v>0</v>
      </c>
      <c r="G121" s="88">
        <f t="shared" si="19"/>
        <v>0</v>
      </c>
      <c r="H121" s="88">
        <f t="shared" si="19"/>
        <v>0</v>
      </c>
      <c r="I121" s="88">
        <f t="shared" si="19"/>
        <v>0</v>
      </c>
      <c r="J121" s="88">
        <f t="shared" si="19"/>
        <v>0</v>
      </c>
      <c r="K121" s="88">
        <f t="shared" si="19"/>
        <v>0</v>
      </c>
      <c r="L121" s="89">
        <f t="shared" si="19"/>
        <v>0</v>
      </c>
      <c r="M121" s="88"/>
    </row>
    <row r="122" spans="1:13" x14ac:dyDescent="0.15">
      <c r="A122" s="17" t="s">
        <v>37</v>
      </c>
      <c r="B122" s="88">
        <f t="shared" ref="B122:L122" si="20">+B28*B$4</f>
        <v>52327116.594596364</v>
      </c>
      <c r="C122" s="88">
        <f t="shared" si="20"/>
        <v>0</v>
      </c>
      <c r="D122" s="88">
        <f t="shared" si="20"/>
        <v>0</v>
      </c>
      <c r="E122" s="88">
        <f t="shared" si="20"/>
        <v>0</v>
      </c>
      <c r="F122" s="88">
        <f t="shared" si="20"/>
        <v>0</v>
      </c>
      <c r="G122" s="88">
        <f t="shared" si="20"/>
        <v>0</v>
      </c>
      <c r="H122" s="88">
        <f t="shared" si="20"/>
        <v>0</v>
      </c>
      <c r="I122" s="88">
        <f t="shared" si="20"/>
        <v>0</v>
      </c>
      <c r="J122" s="88">
        <f t="shared" si="20"/>
        <v>0</v>
      </c>
      <c r="K122" s="88">
        <f t="shared" si="20"/>
        <v>694591.09619199997</v>
      </c>
      <c r="L122" s="89">
        <f t="shared" si="20"/>
        <v>722650.41049599997</v>
      </c>
      <c r="M122" s="88"/>
    </row>
    <row r="123" spans="1:13" x14ac:dyDescent="0.15">
      <c r="A123" s="17" t="s">
        <v>38</v>
      </c>
      <c r="B123" s="88">
        <f t="shared" ref="B123:L123" si="21">+B29*B$4</f>
        <v>145643486.90310284</v>
      </c>
      <c r="C123" s="88">
        <f t="shared" si="21"/>
        <v>0</v>
      </c>
      <c r="D123" s="88">
        <f t="shared" si="21"/>
        <v>48750604.587142847</v>
      </c>
      <c r="E123" s="88">
        <f t="shared" si="21"/>
        <v>58745319.770879991</v>
      </c>
      <c r="F123" s="88">
        <f t="shared" si="21"/>
        <v>7739543.8844000027</v>
      </c>
      <c r="G123" s="88">
        <f t="shared" si="21"/>
        <v>4658327.7540800003</v>
      </c>
      <c r="H123" s="88">
        <f t="shared" si="21"/>
        <v>9116971.9759999979</v>
      </c>
      <c r="I123" s="88">
        <f t="shared" si="21"/>
        <v>0</v>
      </c>
      <c r="J123" s="88">
        <f t="shared" si="21"/>
        <v>1224016.43</v>
      </c>
      <c r="K123" s="88">
        <f t="shared" si="21"/>
        <v>1391175.4500000002</v>
      </c>
      <c r="L123" s="89">
        <f t="shared" si="21"/>
        <v>1180462.60512</v>
      </c>
      <c r="M123" s="88"/>
    </row>
    <row r="124" spans="1:13" x14ac:dyDescent="0.15">
      <c r="A124" s="38" t="s">
        <v>39</v>
      </c>
      <c r="B124" s="90">
        <f t="shared" ref="B124:L124" si="22">SUM(B118:B123)</f>
        <v>2348063053.4288359</v>
      </c>
      <c r="C124" s="90">
        <f t="shared" si="22"/>
        <v>293061094.68340158</v>
      </c>
      <c r="D124" s="90">
        <f t="shared" si="22"/>
        <v>190959651.09047619</v>
      </c>
      <c r="E124" s="90">
        <f t="shared" si="22"/>
        <v>58745319.770879991</v>
      </c>
      <c r="F124" s="90">
        <f t="shared" si="22"/>
        <v>335193576.85973334</v>
      </c>
      <c r="G124" s="90">
        <f t="shared" si="22"/>
        <v>187657925.79822788</v>
      </c>
      <c r="H124" s="90">
        <f t="shared" si="22"/>
        <v>185540768.61600003</v>
      </c>
      <c r="I124" s="90">
        <f t="shared" si="22"/>
        <v>38367343.999503493</v>
      </c>
      <c r="J124" s="90">
        <f t="shared" si="22"/>
        <v>27146702.158952381</v>
      </c>
      <c r="K124" s="90">
        <f t="shared" si="22"/>
        <v>54917876.279852457</v>
      </c>
      <c r="L124" s="91">
        <f t="shared" si="22"/>
        <v>55102996.451989338</v>
      </c>
      <c r="M124" s="90"/>
    </row>
    <row r="125" spans="1:13" x14ac:dyDescent="0.15">
      <c r="A125" s="11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9"/>
      <c r="M125" s="88"/>
    </row>
    <row r="126" spans="1:13" x14ac:dyDescent="0.15">
      <c r="A126" s="34" t="s">
        <v>40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9"/>
      <c r="M126" s="88"/>
    </row>
    <row r="127" spans="1:13" x14ac:dyDescent="0.15">
      <c r="A127" s="11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9"/>
      <c r="M127" s="88"/>
    </row>
    <row r="128" spans="1:13" x14ac:dyDescent="0.15">
      <c r="A128" s="17" t="s">
        <v>41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9"/>
      <c r="M128" s="88"/>
    </row>
    <row r="129" spans="1:13" x14ac:dyDescent="0.15">
      <c r="A129" s="17" t="s">
        <v>85</v>
      </c>
      <c r="B129" s="88">
        <f>+B35*B$4</f>
        <v>15939201.576397453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9"/>
      <c r="M129" s="88"/>
    </row>
    <row r="130" spans="1:13" x14ac:dyDescent="0.15">
      <c r="A130" s="41" t="s">
        <v>43</v>
      </c>
      <c r="B130" s="88">
        <f>+B36*B$4</f>
        <v>23256496.264265049</v>
      </c>
      <c r="C130" s="88">
        <f t="shared" ref="C130:L130" si="23">+C36*C$4</f>
        <v>0</v>
      </c>
      <c r="D130" s="88">
        <f t="shared" si="23"/>
        <v>0</v>
      </c>
      <c r="E130" s="88">
        <f t="shared" si="23"/>
        <v>0</v>
      </c>
      <c r="F130" s="88">
        <f t="shared" si="23"/>
        <v>0</v>
      </c>
      <c r="G130" s="88">
        <f t="shared" si="23"/>
        <v>0</v>
      </c>
      <c r="H130" s="88">
        <f t="shared" si="23"/>
        <v>0</v>
      </c>
      <c r="I130" s="88">
        <f t="shared" si="23"/>
        <v>0</v>
      </c>
      <c r="J130" s="88">
        <f t="shared" si="23"/>
        <v>0</v>
      </c>
      <c r="K130" s="88">
        <f t="shared" si="23"/>
        <v>308707.1538631111</v>
      </c>
      <c r="L130" s="89">
        <f t="shared" si="23"/>
        <v>321177.96022044442</v>
      </c>
      <c r="M130" s="88"/>
    </row>
    <row r="131" spans="1:13" x14ac:dyDescent="0.15">
      <c r="A131" s="17" t="s">
        <v>44</v>
      </c>
      <c r="B131" s="88">
        <f>+B37*B$4</f>
        <v>0</v>
      </c>
      <c r="C131" s="88">
        <f t="shared" ref="C131:L131" si="24">+C37*C$4</f>
        <v>0</v>
      </c>
      <c r="D131" s="88">
        <f t="shared" si="24"/>
        <v>0</v>
      </c>
      <c r="E131" s="88">
        <f t="shared" si="24"/>
        <v>0</v>
      </c>
      <c r="F131" s="88">
        <f t="shared" si="24"/>
        <v>19560712.228519998</v>
      </c>
      <c r="G131" s="88">
        <f t="shared" si="24"/>
        <v>5505747.17576</v>
      </c>
      <c r="H131" s="88">
        <f t="shared" si="24"/>
        <v>4391169.9160000002</v>
      </c>
      <c r="I131" s="88">
        <f t="shared" si="24"/>
        <v>0</v>
      </c>
      <c r="J131" s="88">
        <f t="shared" si="24"/>
        <v>0</v>
      </c>
      <c r="K131" s="88">
        <f t="shared" si="24"/>
        <v>0</v>
      </c>
      <c r="L131" s="89">
        <f t="shared" si="24"/>
        <v>0</v>
      </c>
      <c r="M131" s="88"/>
    </row>
    <row r="132" spans="1:13" x14ac:dyDescent="0.15">
      <c r="A132" s="17" t="s">
        <v>45</v>
      </c>
      <c r="B132" s="88">
        <f>+B38*B$4</f>
        <v>23256496.264265049</v>
      </c>
      <c r="C132" s="88">
        <f t="shared" ref="C132:L132" si="25">+C38*C$4</f>
        <v>0</v>
      </c>
      <c r="D132" s="88">
        <f t="shared" si="25"/>
        <v>0</v>
      </c>
      <c r="E132" s="88">
        <f t="shared" si="25"/>
        <v>0</v>
      </c>
      <c r="F132" s="88">
        <f t="shared" si="25"/>
        <v>0</v>
      </c>
      <c r="G132" s="88">
        <f t="shared" si="25"/>
        <v>0</v>
      </c>
      <c r="H132" s="88">
        <f t="shared" si="25"/>
        <v>0</v>
      </c>
      <c r="I132" s="88">
        <f t="shared" si="25"/>
        <v>0</v>
      </c>
      <c r="J132" s="88">
        <f t="shared" si="25"/>
        <v>0</v>
      </c>
      <c r="K132" s="88">
        <f t="shared" si="25"/>
        <v>308707.1538631111</v>
      </c>
      <c r="L132" s="89">
        <f t="shared" si="25"/>
        <v>321177.96022044442</v>
      </c>
      <c r="M132" s="88"/>
    </row>
    <row r="133" spans="1:13" x14ac:dyDescent="0.15">
      <c r="A133" s="17" t="s">
        <v>46</v>
      </c>
      <c r="B133" s="88">
        <f>+B39*B$4</f>
        <v>0</v>
      </c>
      <c r="C133" s="88">
        <f t="shared" ref="C133:L133" si="26">+C39*C$4</f>
        <v>0</v>
      </c>
      <c r="D133" s="88">
        <f t="shared" si="26"/>
        <v>0</v>
      </c>
      <c r="E133" s="88">
        <f t="shared" si="26"/>
        <v>0</v>
      </c>
      <c r="F133" s="88">
        <f t="shared" si="26"/>
        <v>0</v>
      </c>
      <c r="G133" s="88">
        <f t="shared" si="26"/>
        <v>0</v>
      </c>
      <c r="H133" s="88">
        <f t="shared" si="26"/>
        <v>0</v>
      </c>
      <c r="I133" s="88">
        <f t="shared" si="26"/>
        <v>0</v>
      </c>
      <c r="J133" s="88">
        <f t="shared" si="26"/>
        <v>0</v>
      </c>
      <c r="K133" s="88">
        <f t="shared" si="26"/>
        <v>0</v>
      </c>
      <c r="L133" s="89">
        <f t="shared" si="26"/>
        <v>0</v>
      </c>
      <c r="M133" s="88"/>
    </row>
    <row r="134" spans="1:13" x14ac:dyDescent="0.15">
      <c r="A134" s="17" t="s">
        <v>47</v>
      </c>
      <c r="B134" s="88">
        <f t="shared" ref="B134:L134" si="27">SUM(B130:B133)</f>
        <v>46512992.528530098</v>
      </c>
      <c r="C134" s="88">
        <f>SUM(C130:C133)</f>
        <v>0</v>
      </c>
      <c r="D134" s="88">
        <f t="shared" si="27"/>
        <v>0</v>
      </c>
      <c r="E134" s="88">
        <f t="shared" si="27"/>
        <v>0</v>
      </c>
      <c r="F134" s="88">
        <f t="shared" si="27"/>
        <v>19560712.228519998</v>
      </c>
      <c r="G134" s="88">
        <f t="shared" si="27"/>
        <v>5505747.17576</v>
      </c>
      <c r="H134" s="88">
        <f t="shared" si="27"/>
        <v>4391169.9160000002</v>
      </c>
      <c r="I134" s="88">
        <f t="shared" si="27"/>
        <v>0</v>
      </c>
      <c r="J134" s="88">
        <f t="shared" si="27"/>
        <v>0</v>
      </c>
      <c r="K134" s="88">
        <f t="shared" si="27"/>
        <v>617414.30772622221</v>
      </c>
      <c r="L134" s="89">
        <f t="shared" si="27"/>
        <v>642355.92044088885</v>
      </c>
      <c r="M134" s="88"/>
    </row>
    <row r="135" spans="1:13" x14ac:dyDescent="0.15">
      <c r="A135" s="11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9"/>
      <c r="M135" s="88"/>
    </row>
    <row r="136" spans="1:13" x14ac:dyDescent="0.15">
      <c r="A136" s="17" t="s">
        <v>48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9"/>
      <c r="M136" s="88"/>
    </row>
    <row r="137" spans="1:13" x14ac:dyDescent="0.15">
      <c r="A137" s="17" t="s">
        <v>49</v>
      </c>
      <c r="B137" s="88">
        <f>+B43*B$4</f>
        <v>105127483.5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9"/>
      <c r="M137" s="88"/>
    </row>
    <row r="138" spans="1:13" x14ac:dyDescent="0.15">
      <c r="A138" s="17" t="s">
        <v>50</v>
      </c>
      <c r="B138" s="88">
        <f>+B44*B$4</f>
        <v>92243314.509705141</v>
      </c>
      <c r="C138" s="88">
        <f t="shared" ref="C138:L138" si="28">+C44*C$4</f>
        <v>0</v>
      </c>
      <c r="D138" s="88">
        <f t="shared" si="28"/>
        <v>0</v>
      </c>
      <c r="E138" s="88">
        <f t="shared" si="28"/>
        <v>0</v>
      </c>
      <c r="F138" s="88">
        <f t="shared" si="28"/>
        <v>0</v>
      </c>
      <c r="G138" s="88">
        <f t="shared" si="28"/>
        <v>0</v>
      </c>
      <c r="H138" s="88">
        <f t="shared" si="28"/>
        <v>0</v>
      </c>
      <c r="I138" s="88">
        <f t="shared" si="28"/>
        <v>0</v>
      </c>
      <c r="J138" s="88">
        <f t="shared" si="28"/>
        <v>0</v>
      </c>
      <c r="K138" s="88">
        <f t="shared" si="28"/>
        <v>7640502.0581120001</v>
      </c>
      <c r="L138" s="89">
        <f t="shared" si="28"/>
        <v>1273902.9672205129</v>
      </c>
      <c r="M138" s="88"/>
    </row>
    <row r="139" spans="1:13" x14ac:dyDescent="0.15">
      <c r="A139" s="17" t="s">
        <v>51</v>
      </c>
      <c r="B139" s="88">
        <f>+B45*B$4</f>
        <v>38536446.317307688</v>
      </c>
      <c r="C139" s="88">
        <f t="shared" ref="C139:L139" si="29">+C45*C$4</f>
        <v>0</v>
      </c>
      <c r="D139" s="88">
        <f t="shared" si="29"/>
        <v>0</v>
      </c>
      <c r="E139" s="88">
        <f t="shared" si="29"/>
        <v>0</v>
      </c>
      <c r="F139" s="88">
        <f t="shared" si="29"/>
        <v>0</v>
      </c>
      <c r="G139" s="88">
        <f t="shared" si="29"/>
        <v>0</v>
      </c>
      <c r="H139" s="88">
        <f t="shared" si="29"/>
        <v>0</v>
      </c>
      <c r="I139" s="88">
        <f t="shared" si="29"/>
        <v>0</v>
      </c>
      <c r="J139" s="88">
        <f t="shared" si="29"/>
        <v>0</v>
      </c>
      <c r="K139" s="88">
        <f t="shared" si="29"/>
        <v>512448.14407500002</v>
      </c>
      <c r="L139" s="89">
        <f t="shared" si="29"/>
        <v>533149.45110000006</v>
      </c>
      <c r="M139" s="88"/>
    </row>
    <row r="140" spans="1:13" x14ac:dyDescent="0.15">
      <c r="A140" s="17" t="s">
        <v>46</v>
      </c>
      <c r="B140" s="88">
        <f>+B46*B$4</f>
        <v>10286831.819999998</v>
      </c>
      <c r="C140" s="88">
        <f t="shared" ref="C140:L140" si="30">+C46*C$4</f>
        <v>0</v>
      </c>
      <c r="D140" s="88">
        <f t="shared" si="30"/>
        <v>0</v>
      </c>
      <c r="E140" s="88">
        <f t="shared" si="30"/>
        <v>206989.04000000018</v>
      </c>
      <c r="F140" s="88">
        <f t="shared" si="30"/>
        <v>0</v>
      </c>
      <c r="G140" s="88">
        <f t="shared" si="30"/>
        <v>0</v>
      </c>
      <c r="H140" s="88">
        <f t="shared" si="30"/>
        <v>0</v>
      </c>
      <c r="I140" s="88">
        <f t="shared" si="30"/>
        <v>135187.28</v>
      </c>
      <c r="J140" s="88">
        <f t="shared" si="30"/>
        <v>0</v>
      </c>
      <c r="K140" s="88">
        <f t="shared" si="30"/>
        <v>119709.23999999999</v>
      </c>
      <c r="L140" s="89">
        <f t="shared" si="30"/>
        <v>124545.12</v>
      </c>
      <c r="M140" s="88"/>
    </row>
    <row r="141" spans="1:13" x14ac:dyDescent="0.15">
      <c r="A141" s="17" t="s">
        <v>52</v>
      </c>
      <c r="B141" s="88">
        <f t="shared" ref="B141:L141" si="31">SUM(B138:B140)</f>
        <v>141066592.64701283</v>
      </c>
      <c r="C141" s="88">
        <f t="shared" si="31"/>
        <v>0</v>
      </c>
      <c r="D141" s="88">
        <f t="shared" si="31"/>
        <v>0</v>
      </c>
      <c r="E141" s="88">
        <f t="shared" si="31"/>
        <v>206989.04000000018</v>
      </c>
      <c r="F141" s="88">
        <f t="shared" si="31"/>
        <v>0</v>
      </c>
      <c r="G141" s="88">
        <f t="shared" si="31"/>
        <v>0</v>
      </c>
      <c r="H141" s="88">
        <f t="shared" si="31"/>
        <v>0</v>
      </c>
      <c r="I141" s="88">
        <f t="shared" si="31"/>
        <v>135187.28</v>
      </c>
      <c r="J141" s="88">
        <f t="shared" si="31"/>
        <v>0</v>
      </c>
      <c r="K141" s="88">
        <f t="shared" si="31"/>
        <v>8272659.4421870001</v>
      </c>
      <c r="L141" s="89">
        <f t="shared" si="31"/>
        <v>1931597.538320513</v>
      </c>
      <c r="M141" s="88"/>
    </row>
    <row r="142" spans="1:13" x14ac:dyDescent="0.15">
      <c r="A142" s="11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9"/>
      <c r="M142" s="88"/>
    </row>
    <row r="143" spans="1:13" x14ac:dyDescent="0.15">
      <c r="A143" s="17" t="s">
        <v>53</v>
      </c>
      <c r="B143" s="88">
        <f t="shared" ref="B143:L143" si="32">+B49*B$4</f>
        <v>505854106</v>
      </c>
      <c r="C143" s="88">
        <f t="shared" si="32"/>
        <v>0</v>
      </c>
      <c r="D143" s="88">
        <f t="shared" si="32"/>
        <v>0</v>
      </c>
      <c r="E143" s="88">
        <f t="shared" si="32"/>
        <v>0</v>
      </c>
      <c r="F143" s="88">
        <f t="shared" si="32"/>
        <v>0</v>
      </c>
      <c r="G143" s="88">
        <f t="shared" si="32"/>
        <v>0</v>
      </c>
      <c r="H143" s="88">
        <f t="shared" si="32"/>
        <v>0</v>
      </c>
      <c r="I143" s="88">
        <f t="shared" si="32"/>
        <v>0</v>
      </c>
      <c r="J143" s="88">
        <f t="shared" si="32"/>
        <v>0</v>
      </c>
      <c r="K143" s="88">
        <f t="shared" si="32"/>
        <v>5886692</v>
      </c>
      <c r="L143" s="89">
        <f t="shared" si="32"/>
        <v>6124496</v>
      </c>
      <c r="M143" s="88"/>
    </row>
    <row r="144" spans="1:13" x14ac:dyDescent="0.15">
      <c r="A144" s="11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9"/>
      <c r="M144" s="88"/>
    </row>
    <row r="145" spans="1:13" x14ac:dyDescent="0.15">
      <c r="A145" s="38" t="s">
        <v>54</v>
      </c>
      <c r="B145" s="90">
        <f t="shared" ref="B145:L145" si="33">B143+B141+B134</f>
        <v>693433691.17554295</v>
      </c>
      <c r="C145" s="90">
        <f t="shared" si="33"/>
        <v>0</v>
      </c>
      <c r="D145" s="90">
        <f t="shared" si="33"/>
        <v>0</v>
      </c>
      <c r="E145" s="90">
        <f t="shared" si="33"/>
        <v>206989.04000000018</v>
      </c>
      <c r="F145" s="90">
        <f t="shared" si="33"/>
        <v>19560712.228519998</v>
      </c>
      <c r="G145" s="90">
        <f t="shared" si="33"/>
        <v>5505747.17576</v>
      </c>
      <c r="H145" s="90">
        <f t="shared" si="33"/>
        <v>4391169.9160000002</v>
      </c>
      <c r="I145" s="90">
        <f t="shared" si="33"/>
        <v>135187.28</v>
      </c>
      <c r="J145" s="90">
        <f t="shared" si="33"/>
        <v>0</v>
      </c>
      <c r="K145" s="90">
        <f t="shared" si="33"/>
        <v>14776765.749913223</v>
      </c>
      <c r="L145" s="91">
        <f t="shared" si="33"/>
        <v>8698449.4587614015</v>
      </c>
      <c r="M145" s="90"/>
    </row>
    <row r="146" spans="1:13" x14ac:dyDescent="0.15">
      <c r="A146" s="11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9"/>
      <c r="M146" s="88"/>
    </row>
    <row r="147" spans="1:13" x14ac:dyDescent="0.15">
      <c r="A147" s="34" t="s">
        <v>55</v>
      </c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9"/>
      <c r="M147" s="88"/>
    </row>
    <row r="148" spans="1:13" x14ac:dyDescent="0.15">
      <c r="A148" s="17" t="s">
        <v>56</v>
      </c>
      <c r="B148" s="88">
        <f t="shared" ref="B148:L148" si="34">+B54*B$4</f>
        <v>92243314.509705141</v>
      </c>
      <c r="C148" s="88">
        <f t="shared" si="34"/>
        <v>0</v>
      </c>
      <c r="D148" s="88">
        <f t="shared" si="34"/>
        <v>0</v>
      </c>
      <c r="E148" s="88">
        <f t="shared" si="34"/>
        <v>0</v>
      </c>
      <c r="F148" s="88">
        <f t="shared" si="34"/>
        <v>0</v>
      </c>
      <c r="G148" s="88">
        <f t="shared" si="34"/>
        <v>0</v>
      </c>
      <c r="H148" s="88">
        <f t="shared" si="34"/>
        <v>0</v>
      </c>
      <c r="I148" s="88">
        <f t="shared" si="34"/>
        <v>0</v>
      </c>
      <c r="J148" s="88">
        <f t="shared" si="34"/>
        <v>0</v>
      </c>
      <c r="K148" s="88">
        <f t="shared" si="34"/>
        <v>1224439.4323897436</v>
      </c>
      <c r="L148" s="89">
        <f t="shared" si="34"/>
        <v>1273902.9672205129</v>
      </c>
      <c r="M148" s="88"/>
    </row>
    <row r="149" spans="1:13" x14ac:dyDescent="0.15">
      <c r="A149" s="17" t="s">
        <v>57</v>
      </c>
      <c r="B149" s="88">
        <f t="shared" ref="B149:L149" si="35">+B55*B$4</f>
        <v>33162301.392000001</v>
      </c>
      <c r="C149" s="88">
        <f t="shared" si="35"/>
        <v>0</v>
      </c>
      <c r="D149" s="88">
        <f t="shared" si="35"/>
        <v>0</v>
      </c>
      <c r="E149" s="88">
        <f t="shared" si="35"/>
        <v>0</v>
      </c>
      <c r="F149" s="88">
        <f t="shared" si="35"/>
        <v>0</v>
      </c>
      <c r="G149" s="88">
        <f t="shared" si="35"/>
        <v>0</v>
      </c>
      <c r="H149" s="88">
        <f t="shared" si="35"/>
        <v>0</v>
      </c>
      <c r="I149" s="88">
        <f t="shared" si="35"/>
        <v>0</v>
      </c>
      <c r="J149" s="88">
        <f t="shared" si="35"/>
        <v>0</v>
      </c>
      <c r="K149" s="88">
        <f t="shared" si="35"/>
        <v>257394.62</v>
      </c>
      <c r="L149" s="89">
        <f t="shared" si="35"/>
        <v>267792.56</v>
      </c>
      <c r="M149" s="88"/>
    </row>
    <row r="150" spans="1:13" x14ac:dyDescent="0.15">
      <c r="A150" s="22" t="s">
        <v>58</v>
      </c>
      <c r="B150" s="92">
        <f t="shared" ref="B150:L150" si="36">B149+B148</f>
        <v>125405615.90170515</v>
      </c>
      <c r="C150" s="92">
        <f>C149+C148</f>
        <v>0</v>
      </c>
      <c r="D150" s="92">
        <f t="shared" si="36"/>
        <v>0</v>
      </c>
      <c r="E150" s="92">
        <f t="shared" si="36"/>
        <v>0</v>
      </c>
      <c r="F150" s="92">
        <f t="shared" si="36"/>
        <v>0</v>
      </c>
      <c r="G150" s="92">
        <f t="shared" si="36"/>
        <v>0</v>
      </c>
      <c r="H150" s="92">
        <f t="shared" si="36"/>
        <v>0</v>
      </c>
      <c r="I150" s="92">
        <f t="shared" si="36"/>
        <v>0</v>
      </c>
      <c r="J150" s="92">
        <f t="shared" si="36"/>
        <v>0</v>
      </c>
      <c r="K150" s="92">
        <f t="shared" si="36"/>
        <v>1481834.0523897437</v>
      </c>
      <c r="L150" s="93">
        <f t="shared" si="36"/>
        <v>1541695.527220513</v>
      </c>
      <c r="M150" s="92"/>
    </row>
    <row r="151" spans="1:13" x14ac:dyDescent="0.15">
      <c r="A151" s="17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9"/>
      <c r="M151" s="88"/>
    </row>
    <row r="152" spans="1:13" x14ac:dyDescent="0.15">
      <c r="A152" s="34" t="s">
        <v>59</v>
      </c>
      <c r="B152" s="88">
        <f t="shared" ref="B152:L152" si="37">+B58*B$4</f>
        <v>0</v>
      </c>
      <c r="C152" s="88">
        <f t="shared" si="37"/>
        <v>0</v>
      </c>
      <c r="D152" s="88">
        <f t="shared" si="37"/>
        <v>0</v>
      </c>
      <c r="E152" s="88">
        <f t="shared" si="37"/>
        <v>0</v>
      </c>
      <c r="F152" s="88">
        <f t="shared" si="37"/>
        <v>0</v>
      </c>
      <c r="G152" s="88">
        <f t="shared" si="37"/>
        <v>0</v>
      </c>
      <c r="H152" s="88">
        <f t="shared" si="37"/>
        <v>0</v>
      </c>
      <c r="I152" s="88">
        <f t="shared" si="37"/>
        <v>0</v>
      </c>
      <c r="J152" s="88">
        <f t="shared" si="37"/>
        <v>0</v>
      </c>
      <c r="K152" s="88">
        <f t="shared" si="37"/>
        <v>0</v>
      </c>
      <c r="L152" s="89">
        <f t="shared" si="37"/>
        <v>534922.93515688111</v>
      </c>
      <c r="M152" s="88"/>
    </row>
    <row r="153" spans="1:13" x14ac:dyDescent="0.15">
      <c r="A153" s="11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9"/>
      <c r="M153" s="88"/>
    </row>
    <row r="154" spans="1:13" x14ac:dyDescent="0.15">
      <c r="A154" s="34" t="s">
        <v>60</v>
      </c>
      <c r="B154" s="88">
        <f t="shared" ref="B154:L154" si="38">+B60*B$4</f>
        <v>24807850.911914904</v>
      </c>
      <c r="C154" s="88">
        <f t="shared" si="38"/>
        <v>2036559.802724638</v>
      </c>
      <c r="D154" s="88">
        <f t="shared" si="38"/>
        <v>1395591.2666666666</v>
      </c>
      <c r="E154" s="88">
        <f t="shared" si="38"/>
        <v>0</v>
      </c>
      <c r="F154" s="88">
        <f t="shared" si="38"/>
        <v>3213522.6266666669</v>
      </c>
      <c r="G154" s="88">
        <f t="shared" si="38"/>
        <v>1795895.8808428326</v>
      </c>
      <c r="H154" s="88">
        <f t="shared" si="38"/>
        <v>1731363.2</v>
      </c>
      <c r="I154" s="88">
        <f t="shared" si="38"/>
        <v>0</v>
      </c>
      <c r="J154" s="88">
        <f t="shared" si="38"/>
        <v>254396.43047619049</v>
      </c>
      <c r="K154" s="88">
        <f t="shared" si="38"/>
        <v>542788.77141445235</v>
      </c>
      <c r="L154" s="89">
        <f t="shared" si="38"/>
        <v>491766.12255229231</v>
      </c>
      <c r="M154" s="88"/>
    </row>
    <row r="155" spans="1:13" x14ac:dyDescent="0.15">
      <c r="A155" s="44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3"/>
      <c r="M155" s="92"/>
    </row>
    <row r="156" spans="1:13" x14ac:dyDescent="0.15">
      <c r="A156" s="11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9"/>
      <c r="M156" s="88"/>
    </row>
    <row r="157" spans="1:13" x14ac:dyDescent="0.15">
      <c r="A157" s="38" t="s">
        <v>64</v>
      </c>
      <c r="B157" s="90">
        <f t="shared" ref="B157:L157" si="39">B124+B145+B150+B152+B154+B155</f>
        <v>3191710211.4179988</v>
      </c>
      <c r="C157" s="90">
        <f t="shared" si="39"/>
        <v>295097654.48612624</v>
      </c>
      <c r="D157" s="94">
        <f t="shared" si="39"/>
        <v>192355242.35714287</v>
      </c>
      <c r="E157" s="90">
        <f t="shared" si="39"/>
        <v>58952308.81087999</v>
      </c>
      <c r="F157" s="90">
        <f t="shared" si="39"/>
        <v>357967811.71491998</v>
      </c>
      <c r="G157" s="90">
        <f t="shared" si="39"/>
        <v>194959568.85483071</v>
      </c>
      <c r="H157" s="90">
        <f t="shared" si="39"/>
        <v>191663301.73200002</v>
      </c>
      <c r="I157" s="90">
        <f t="shared" si="39"/>
        <v>38502531.279503495</v>
      </c>
      <c r="J157" s="90">
        <f t="shared" si="39"/>
        <v>27401098.58942857</v>
      </c>
      <c r="K157" s="90">
        <f t="shared" si="39"/>
        <v>71719264.85356988</v>
      </c>
      <c r="L157" s="91">
        <f t="shared" si="39"/>
        <v>66369830.495680422</v>
      </c>
      <c r="M157" s="90"/>
    </row>
    <row r="158" spans="1:13" x14ac:dyDescent="0.15">
      <c r="A158" s="50"/>
      <c r="B158" s="52"/>
      <c r="C158" s="52"/>
      <c r="D158" s="52"/>
      <c r="E158" s="51"/>
      <c r="F158" s="52"/>
      <c r="G158" s="52"/>
      <c r="H158" s="52"/>
      <c r="I158" s="53"/>
      <c r="J158" s="53"/>
      <c r="K158" s="54"/>
      <c r="L158" s="53"/>
      <c r="M158" s="53"/>
    </row>
  </sheetData>
  <mergeCells count="1">
    <mergeCell ref="F1:H1"/>
  </mergeCells>
  <pageMargins left="0.7" right="0.7" top="0.75" bottom="0.75" header="0.3" footer="0.3"/>
  <pageSetup scale="69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7" workbookViewId="0">
      <selection activeCell="J71" sqref="J71"/>
    </sheetView>
  </sheetViews>
  <sheetFormatPr defaultRowHeight="15" x14ac:dyDescent="0.25"/>
  <cols>
    <col min="1" max="1" width="28.5703125" style="152" customWidth="1"/>
    <col min="2" max="2" width="18.28515625" style="152" customWidth="1"/>
    <col min="3" max="3" width="30.42578125" style="152" customWidth="1"/>
    <col min="4" max="4" width="41" style="152" customWidth="1"/>
    <col min="5" max="16384" width="9.140625" style="152"/>
  </cols>
  <sheetData>
    <row r="1" spans="1:4" x14ac:dyDescent="0.25">
      <c r="A1" s="7" t="s">
        <v>141</v>
      </c>
      <c r="B1" s="150">
        <f>+'[1]16 earnings'!CO7</f>
        <v>33424</v>
      </c>
      <c r="C1" s="14"/>
      <c r="D1" s="151"/>
    </row>
    <row r="2" spans="1:4" x14ac:dyDescent="0.25">
      <c r="A2" s="7"/>
      <c r="B2" s="7"/>
      <c r="C2" s="14"/>
      <c r="D2" s="151"/>
    </row>
    <row r="3" spans="1:4" x14ac:dyDescent="0.25">
      <c r="A3" s="7" t="s">
        <v>142</v>
      </c>
      <c r="B3" s="153">
        <v>0</v>
      </c>
      <c r="C3" s="154"/>
      <c r="D3" s="151"/>
    </row>
    <row r="4" spans="1:4" x14ac:dyDescent="0.25">
      <c r="A4" s="7" t="s">
        <v>143</v>
      </c>
      <c r="B4" s="153">
        <f>+'[1]16 earnings'!CN9</f>
        <v>0</v>
      </c>
      <c r="C4" s="154"/>
      <c r="D4" s="151"/>
    </row>
    <row r="5" spans="1:4" x14ac:dyDescent="0.25">
      <c r="A5" s="7" t="s">
        <v>144</v>
      </c>
      <c r="B5" s="153">
        <f>+'[1]16 earnings'!CN10</f>
        <v>1.4500000000000001E-2</v>
      </c>
      <c r="C5" s="154"/>
      <c r="D5" s="151"/>
    </row>
    <row r="6" spans="1:4" x14ac:dyDescent="0.25">
      <c r="A6" s="7" t="s">
        <v>145</v>
      </c>
      <c r="B6" s="155">
        <f>SUM(B3:B5)</f>
        <v>1.4500000000000001E-2</v>
      </c>
      <c r="C6" s="154"/>
      <c r="D6" s="151"/>
    </row>
    <row r="7" spans="1:4" x14ac:dyDescent="0.25">
      <c r="A7" s="156" t="s">
        <v>146</v>
      </c>
      <c r="B7" s="156" t="s">
        <v>147</v>
      </c>
      <c r="C7" s="156" t="s">
        <v>148</v>
      </c>
      <c r="D7" s="157" t="s">
        <v>149</v>
      </c>
    </row>
    <row r="8" spans="1:4" x14ac:dyDescent="0.25">
      <c r="A8" s="11"/>
      <c r="B8" s="11"/>
      <c r="C8" s="11"/>
      <c r="D8" s="191" t="s">
        <v>150</v>
      </c>
    </row>
    <row r="9" spans="1:4" x14ac:dyDescent="0.25">
      <c r="A9" s="17" t="s">
        <v>151</v>
      </c>
      <c r="B9" s="11"/>
      <c r="C9" s="11"/>
      <c r="D9" s="189"/>
    </row>
    <row r="10" spans="1:4" x14ac:dyDescent="0.25">
      <c r="A10" s="17" t="s">
        <v>152</v>
      </c>
      <c r="B10" s="35">
        <f>B1</f>
        <v>33424</v>
      </c>
      <c r="C10" s="35">
        <f>B10</f>
        <v>33424</v>
      </c>
      <c r="D10" s="189"/>
    </row>
    <row r="11" spans="1:4" x14ac:dyDescent="0.25">
      <c r="A11" s="17" t="s">
        <v>153</v>
      </c>
      <c r="B11" s="158">
        <f>B3</f>
        <v>0</v>
      </c>
      <c r="C11" s="78">
        <f>C10*B11</f>
        <v>0</v>
      </c>
      <c r="D11" s="189"/>
    </row>
    <row r="12" spans="1:4" x14ac:dyDescent="0.25">
      <c r="A12" s="17" t="s">
        <v>154</v>
      </c>
      <c r="B12" s="158">
        <f>B4</f>
        <v>0</v>
      </c>
      <c r="C12" s="78">
        <f>C10*B12</f>
        <v>0</v>
      </c>
      <c r="D12" s="189"/>
    </row>
    <row r="13" spans="1:4" x14ac:dyDescent="0.25">
      <c r="A13" s="17" t="s">
        <v>155</v>
      </c>
      <c r="B13" s="158">
        <f>B5</f>
        <v>1.4500000000000001E-2</v>
      </c>
      <c r="C13" s="78">
        <f>B13*B10</f>
        <v>484.64800000000002</v>
      </c>
      <c r="D13" s="189"/>
    </row>
    <row r="14" spans="1:4" x14ac:dyDescent="0.25">
      <c r="A14" s="17" t="s">
        <v>156</v>
      </c>
      <c r="B14" s="159">
        <v>30</v>
      </c>
      <c r="C14" s="11"/>
      <c r="D14" s="189"/>
    </row>
    <row r="15" spans="1:4" x14ac:dyDescent="0.25">
      <c r="A15" s="17" t="s">
        <v>157</v>
      </c>
      <c r="B15" s="11">
        <v>5</v>
      </c>
      <c r="C15" s="78">
        <f>B15*B14</f>
        <v>150</v>
      </c>
      <c r="D15" s="189"/>
    </row>
    <row r="16" spans="1:4" x14ac:dyDescent="0.25">
      <c r="A16" s="22" t="s">
        <v>158</v>
      </c>
      <c r="B16" s="23"/>
      <c r="C16" s="160">
        <f>SUM(C9:C15)</f>
        <v>34058.648000000001</v>
      </c>
      <c r="D16" s="190"/>
    </row>
    <row r="17" spans="1:4" x14ac:dyDescent="0.25">
      <c r="A17" s="11"/>
      <c r="B17" s="11"/>
      <c r="C17" s="11"/>
      <c r="D17" s="191" t="s">
        <v>159</v>
      </c>
    </row>
    <row r="18" spans="1:4" x14ac:dyDescent="0.25">
      <c r="A18" s="17" t="s">
        <v>160</v>
      </c>
      <c r="B18" s="11"/>
      <c r="C18" s="11"/>
      <c r="D18" s="189"/>
    </row>
    <row r="19" spans="1:4" x14ac:dyDescent="0.25">
      <c r="A19" s="17" t="s">
        <v>161</v>
      </c>
      <c r="B19" s="11"/>
      <c r="C19" s="161">
        <f>C16</f>
        <v>34058.648000000001</v>
      </c>
      <c r="D19" s="189"/>
    </row>
    <row r="20" spans="1:4" x14ac:dyDescent="0.25">
      <c r="A20" s="17"/>
      <c r="B20" s="11"/>
      <c r="C20" s="161"/>
      <c r="D20" s="189"/>
    </row>
    <row r="21" spans="1:4" x14ac:dyDescent="0.25">
      <c r="A21" s="162" t="s">
        <v>162</v>
      </c>
      <c r="B21" s="23"/>
      <c r="C21" s="39">
        <f>C19/3</f>
        <v>11352.882666666666</v>
      </c>
      <c r="D21" s="190"/>
    </row>
    <row r="22" spans="1:4" x14ac:dyDescent="0.25">
      <c r="A22" s="11"/>
      <c r="B22" s="11"/>
      <c r="C22" s="11"/>
      <c r="D22" s="191" t="s">
        <v>163</v>
      </c>
    </row>
    <row r="23" spans="1:4" x14ac:dyDescent="0.25">
      <c r="A23" s="17" t="s">
        <v>164</v>
      </c>
      <c r="B23" s="11"/>
      <c r="C23" s="11"/>
      <c r="D23" s="189"/>
    </row>
    <row r="24" spans="1:4" x14ac:dyDescent="0.25">
      <c r="A24" s="17" t="s">
        <v>152</v>
      </c>
      <c r="B24" s="35">
        <f>B1</f>
        <v>33424</v>
      </c>
      <c r="C24" s="35">
        <f>B24</f>
        <v>33424</v>
      </c>
      <c r="D24" s="189"/>
    </row>
    <row r="25" spans="1:4" x14ac:dyDescent="0.25">
      <c r="A25" s="17" t="s">
        <v>153</v>
      </c>
      <c r="B25" s="158">
        <f>B3</f>
        <v>0</v>
      </c>
      <c r="C25" s="78">
        <f>B24*B25</f>
        <v>0</v>
      </c>
      <c r="D25" s="189"/>
    </row>
    <row r="26" spans="1:4" x14ac:dyDescent="0.25">
      <c r="A26" s="17" t="s">
        <v>154</v>
      </c>
      <c r="B26" s="158">
        <f>B4</f>
        <v>0</v>
      </c>
      <c r="C26" s="78">
        <f>B24*B26</f>
        <v>0</v>
      </c>
      <c r="D26" s="189"/>
    </row>
    <row r="27" spans="1:4" x14ac:dyDescent="0.25">
      <c r="A27" s="17" t="s">
        <v>155</v>
      </c>
      <c r="B27" s="158">
        <f>B5</f>
        <v>1.4500000000000001E-2</v>
      </c>
      <c r="C27" s="78">
        <f>B27*B24</f>
        <v>484.64800000000002</v>
      </c>
      <c r="D27" s="189"/>
    </row>
    <row r="28" spans="1:4" x14ac:dyDescent="0.25">
      <c r="A28" s="17" t="s">
        <v>165</v>
      </c>
      <c r="B28" s="11"/>
      <c r="C28" s="35">
        <f>C24+C25+C26+C27</f>
        <v>33908.648000000001</v>
      </c>
      <c r="D28" s="189"/>
    </row>
    <row r="29" spans="1:4" x14ac:dyDescent="0.25">
      <c r="A29" s="22" t="s">
        <v>166</v>
      </c>
      <c r="B29" s="163">
        <v>0.2</v>
      </c>
      <c r="C29" s="39">
        <f>C28*(1+B29)</f>
        <v>40690.3776</v>
      </c>
      <c r="D29" s="190"/>
    </row>
    <row r="30" spans="1:4" x14ac:dyDescent="0.25">
      <c r="A30" s="11"/>
      <c r="B30" s="11"/>
      <c r="C30" s="11"/>
      <c r="D30" s="164" t="s">
        <v>167</v>
      </c>
    </row>
    <row r="31" spans="1:4" x14ac:dyDescent="0.25">
      <c r="A31" s="17" t="s">
        <v>168</v>
      </c>
      <c r="B31" s="11"/>
      <c r="C31" s="11"/>
      <c r="D31" s="165" t="s">
        <v>169</v>
      </c>
    </row>
    <row r="32" spans="1:4" x14ac:dyDescent="0.25">
      <c r="A32" s="17" t="s">
        <v>152</v>
      </c>
      <c r="B32" s="35">
        <v>14166</v>
      </c>
      <c r="C32" s="35">
        <v>14166</v>
      </c>
      <c r="D32" s="188" t="s">
        <v>170</v>
      </c>
    </row>
    <row r="33" spans="1:4" x14ac:dyDescent="0.25">
      <c r="A33" s="17" t="s">
        <v>153</v>
      </c>
      <c r="B33" s="158">
        <f>B3</f>
        <v>0</v>
      </c>
      <c r="C33" s="78">
        <f>B33*B32</f>
        <v>0</v>
      </c>
      <c r="D33" s="189"/>
    </row>
    <row r="34" spans="1:4" x14ac:dyDescent="0.25">
      <c r="A34" s="17" t="s">
        <v>155</v>
      </c>
      <c r="B34" s="158">
        <v>0</v>
      </c>
      <c r="C34" s="78">
        <f>B34*B32</f>
        <v>0</v>
      </c>
      <c r="D34" s="189"/>
    </row>
    <row r="35" spans="1:4" x14ac:dyDescent="0.25">
      <c r="A35" s="22" t="s">
        <v>166</v>
      </c>
      <c r="B35" s="23"/>
      <c r="C35" s="39">
        <f>C33+C32+C34</f>
        <v>14166</v>
      </c>
      <c r="D35" s="190"/>
    </row>
    <row r="36" spans="1:4" x14ac:dyDescent="0.25">
      <c r="A36" s="11"/>
      <c r="B36" s="11"/>
      <c r="C36" s="11"/>
      <c r="D36" s="164" t="s">
        <v>171</v>
      </c>
    </row>
    <row r="37" spans="1:4" x14ac:dyDescent="0.25">
      <c r="A37" s="17" t="s">
        <v>168</v>
      </c>
      <c r="B37" s="11"/>
      <c r="C37" s="11"/>
      <c r="D37" s="188" t="s">
        <v>170</v>
      </c>
    </row>
    <row r="38" spans="1:4" x14ac:dyDescent="0.25">
      <c r="A38" s="17" t="s">
        <v>152</v>
      </c>
      <c r="B38" s="35">
        <v>14166</v>
      </c>
      <c r="C38" s="35">
        <f>B38*(10/12)</f>
        <v>11805</v>
      </c>
      <c r="D38" s="189"/>
    </row>
    <row r="39" spans="1:4" x14ac:dyDescent="0.25">
      <c r="A39" s="17" t="s">
        <v>153</v>
      </c>
      <c r="B39" s="158">
        <f>B3</f>
        <v>0</v>
      </c>
      <c r="C39" s="78">
        <f>C38*B39</f>
        <v>0</v>
      </c>
      <c r="D39" s="189"/>
    </row>
    <row r="40" spans="1:4" x14ac:dyDescent="0.25">
      <c r="A40" s="17" t="s">
        <v>155</v>
      </c>
      <c r="B40" s="158">
        <v>0</v>
      </c>
      <c r="C40" s="78">
        <f>B40*B38</f>
        <v>0</v>
      </c>
      <c r="D40" s="189"/>
    </row>
    <row r="41" spans="1:4" x14ac:dyDescent="0.25">
      <c r="A41" s="22" t="s">
        <v>165</v>
      </c>
      <c r="B41" s="23"/>
      <c r="C41" s="39">
        <f>C39+C38+C40</f>
        <v>11805</v>
      </c>
      <c r="D41" s="190"/>
    </row>
    <row r="42" spans="1:4" x14ac:dyDescent="0.25">
      <c r="A42" s="11"/>
      <c r="B42" s="11"/>
      <c r="C42" s="11"/>
      <c r="D42" s="164" t="s">
        <v>172</v>
      </c>
    </row>
    <row r="43" spans="1:4" x14ac:dyDescent="0.25">
      <c r="A43" s="17" t="s">
        <v>173</v>
      </c>
      <c r="B43" s="11"/>
      <c r="C43" s="11"/>
      <c r="D43" s="188" t="s">
        <v>174</v>
      </c>
    </row>
    <row r="44" spans="1:4" x14ac:dyDescent="0.25">
      <c r="A44" s="17" t="s">
        <v>152</v>
      </c>
      <c r="B44" s="35">
        <v>21144</v>
      </c>
      <c r="C44" s="35">
        <f>B44</f>
        <v>21144</v>
      </c>
      <c r="D44" s="189"/>
    </row>
    <row r="45" spans="1:4" x14ac:dyDescent="0.25">
      <c r="A45" s="17" t="s">
        <v>153</v>
      </c>
      <c r="B45" s="158">
        <f>B3</f>
        <v>0</v>
      </c>
      <c r="C45" s="78">
        <f>B44*B45</f>
        <v>0</v>
      </c>
      <c r="D45" s="189"/>
    </row>
    <row r="46" spans="1:4" x14ac:dyDescent="0.25">
      <c r="A46" s="17" t="s">
        <v>155</v>
      </c>
      <c r="B46" s="158">
        <v>0</v>
      </c>
      <c r="C46" s="78">
        <f>B46*B44</f>
        <v>0</v>
      </c>
      <c r="D46" s="189"/>
    </row>
    <row r="47" spans="1:4" x14ac:dyDescent="0.25">
      <c r="A47" s="22" t="s">
        <v>166</v>
      </c>
      <c r="B47" s="23"/>
      <c r="C47" s="39">
        <f>C44+C45+C46</f>
        <v>21144</v>
      </c>
      <c r="D47" s="190"/>
    </row>
  </sheetData>
  <mergeCells count="6">
    <mergeCell ref="D43:D47"/>
    <mergeCell ref="D8:D16"/>
    <mergeCell ref="D17:D21"/>
    <mergeCell ref="D22:D29"/>
    <mergeCell ref="D32:D35"/>
    <mergeCell ref="D37:D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workbookViewId="0">
      <selection activeCell="J71" sqref="J71"/>
    </sheetView>
  </sheetViews>
  <sheetFormatPr defaultRowHeight="15" x14ac:dyDescent="0.25"/>
  <cols>
    <col min="2" max="2" width="53.7109375" customWidth="1"/>
    <col min="3" max="3" width="19.7109375" customWidth="1"/>
  </cols>
  <sheetData>
    <row r="1" spans="2:3" ht="30" x14ac:dyDescent="0.25">
      <c r="C1" s="96" t="s">
        <v>112</v>
      </c>
    </row>
    <row r="2" spans="2:3" x14ac:dyDescent="0.25">
      <c r="B2" s="97" t="s">
        <v>87</v>
      </c>
      <c r="C2" s="95">
        <v>5389568340</v>
      </c>
    </row>
    <row r="4" spans="2:3" x14ac:dyDescent="0.25">
      <c r="B4" s="98" t="s">
        <v>88</v>
      </c>
      <c r="C4" s="95">
        <v>33769930</v>
      </c>
    </row>
    <row r="5" spans="2:3" x14ac:dyDescent="0.25">
      <c r="B5" s="98" t="s">
        <v>89</v>
      </c>
      <c r="C5" s="95">
        <v>15307702.874930397</v>
      </c>
    </row>
    <row r="7" spans="2:3" x14ac:dyDescent="0.25">
      <c r="B7" s="100" t="s">
        <v>90</v>
      </c>
      <c r="C7" s="101">
        <v>127704479</v>
      </c>
    </row>
    <row r="8" spans="2:3" x14ac:dyDescent="0.25">
      <c r="B8" s="98" t="s">
        <v>91</v>
      </c>
      <c r="C8" s="95">
        <v>-466615153.035891</v>
      </c>
    </row>
    <row r="9" spans="2:3" ht="26.25" x14ac:dyDescent="0.25">
      <c r="B9" s="144" t="s">
        <v>111</v>
      </c>
      <c r="C9" s="145">
        <f>SUM(C2:C8)</f>
        <v>5099735298.8390398</v>
      </c>
    </row>
    <row r="10" spans="2:3" x14ac:dyDescent="0.25">
      <c r="B10" s="98" t="s">
        <v>62</v>
      </c>
      <c r="C10" s="95">
        <v>2143555765</v>
      </c>
    </row>
    <row r="11" spans="2:3" x14ac:dyDescent="0.25">
      <c r="B11" s="98" t="s">
        <v>95</v>
      </c>
      <c r="C11" s="95">
        <v>948509933</v>
      </c>
    </row>
    <row r="12" spans="2:3" x14ac:dyDescent="0.25">
      <c r="B12" s="98" t="s">
        <v>97</v>
      </c>
      <c r="C12" s="95">
        <v>1099617120</v>
      </c>
    </row>
    <row r="13" spans="2:3" x14ac:dyDescent="0.25">
      <c r="B13" s="98" t="s">
        <v>99</v>
      </c>
      <c r="C13" s="95">
        <v>65797179.526049577</v>
      </c>
    </row>
    <row r="14" spans="2:3" x14ac:dyDescent="0.25">
      <c r="B14" s="100" t="s">
        <v>101</v>
      </c>
      <c r="C14" s="101">
        <v>21450972.776238889</v>
      </c>
    </row>
    <row r="15" spans="2:3" x14ac:dyDescent="0.25">
      <c r="B15" s="98" t="s">
        <v>103</v>
      </c>
      <c r="C15" s="95">
        <v>14893013.430893227</v>
      </c>
    </row>
    <row r="16" spans="2:3" x14ac:dyDescent="0.25">
      <c r="B16" s="100"/>
      <c r="C16" s="101"/>
    </row>
    <row r="17" spans="2:3" x14ac:dyDescent="0.25">
      <c r="B17" s="97" t="s">
        <v>106</v>
      </c>
      <c r="C17" s="95">
        <f>SUM(C9:C16)</f>
        <v>9393559282.5722198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What's in the base</vt:lpstr>
      <vt:lpstr>Summary</vt:lpstr>
      <vt:lpstr>Formula Weights</vt:lpstr>
      <vt:lpstr>Salary Info</vt:lpstr>
      <vt:lpstr>Current QBE Funding</vt:lpstr>
      <vt:lpstr>'Formula Weights'!Print_Area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Dunn</dc:creator>
  <cp:lastModifiedBy>Andrews, Susan</cp:lastModifiedBy>
  <cp:lastPrinted>2015-07-08T21:20:45Z</cp:lastPrinted>
  <dcterms:created xsi:type="dcterms:W3CDTF">2015-06-25T12:45:51Z</dcterms:created>
  <dcterms:modified xsi:type="dcterms:W3CDTF">2015-07-10T14:28:25Z</dcterms:modified>
</cp:coreProperties>
</file>